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недельная ИННА\"/>
    </mc:Choice>
  </mc:AlternateContent>
  <xr:revisionPtr revIDLastSave="0" documentId="13_ncr:1_{5B683232-50F6-42A3-B409-CC3DED243D3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Доходы" sheetId="4" r:id="rId1"/>
  </sheets>
  <definedNames>
    <definedName name="_xlnm._FilterDatabase" localSheetId="0" hidden="1">Доходы!$A$6:$IP$6</definedName>
    <definedName name="Z_03D5E49F_24F7_44F7_8210_D85778C981A4_.wvu.FilterData" localSheetId="0" hidden="1">Доходы!$A$6:$AU$63</definedName>
    <definedName name="Z_117A7AA9_056F_4018_98AD_EAECFC43F1B3_.wvu.Cols" localSheetId="0" hidden="1">Доходы!$B:$H,Доходы!$J:$T,Доходы!$V:$V,Доходы!$Z:$Z,Доходы!$AE:$AE,Доходы!$AH:$AI,Доходы!$AL:$AM,Доходы!$AR:$AT</definedName>
    <definedName name="Z_117A7AA9_056F_4018_98AD_EAECFC43F1B3_.wvu.FilterData" localSheetId="0" hidden="1">Доходы!$A$6:$AU$63</definedName>
    <definedName name="Z_117A7AA9_056F_4018_98AD_EAECFC43F1B3_.wvu.PrintArea" localSheetId="0" hidden="1">Доходы!$A$1:$AQ$66</definedName>
    <definedName name="Z_117A7AA9_056F_4018_98AD_EAECFC43F1B3_.wvu.PrintTitles" localSheetId="0" hidden="1">Доходы!$4:$6</definedName>
    <definedName name="Z_117A7AA9_056F_4018_98AD_EAECFC43F1B3_.wvu.Rows" localSheetId="0" hidden="1">Доходы!$68:$69</definedName>
    <definedName name="Z_4CBCD9D8_B3F5_4722_8CE7_38B89561B806_.wvu.Cols" localSheetId="0" hidden="1">Доходы!$B:$H,Доходы!$J:$O,Доходы!$AE:$AE,Доходы!$AL:$AM,Доходы!$AR:$AT</definedName>
    <definedName name="Z_4CBCD9D8_B3F5_4722_8CE7_38B89561B806_.wvu.PrintArea" localSheetId="0" hidden="1">Доходы!$A$1:$AT$66</definedName>
    <definedName name="Z_4CBCD9D8_B3F5_4722_8CE7_38B89561B806_.wvu.PrintTitles" localSheetId="0" hidden="1">Доходы!$4:$6</definedName>
    <definedName name="Z_4CBCD9D8_B3F5_4722_8CE7_38B89561B806_.wvu.Rows" localSheetId="0" hidden="1">Доходы!$68:$69</definedName>
    <definedName name="Z_583FA723_9D22_4D8A_87C2_40F053D3EC03_.wvu.FilterData" localSheetId="0" hidden="1">Доходы!$A$6:$AU$63</definedName>
    <definedName name="Z_65E97C0E_073B_49BA_9AB4_D888408B0A75_.wvu.FilterData" localSheetId="0" hidden="1">Доходы!$A$6:$AU$63</definedName>
    <definedName name="Z_71A44519_BDEF_434C_95CC_A4A24B3AF9C3_.wvu.FilterData" localSheetId="0" hidden="1">Доходы!$A$6:$AU$63</definedName>
    <definedName name="Z_7DC50C37_F81E_464D_BE66_31375C660B0F_.wvu.Cols" localSheetId="0" hidden="1">Доходы!$B:$H,Доходы!$J:$L,Доходы!$N:$N,Доходы!$Q:$Q,Доходы!$AE:$AE,Доходы!$AL:$AM,Доходы!$AT:$AT</definedName>
    <definedName name="Z_7DC50C37_F81E_464D_BE66_31375C660B0F_.wvu.PrintArea" localSheetId="0" hidden="1">Доходы!$A$1:$AT$66</definedName>
    <definedName name="Z_7DC50C37_F81E_464D_BE66_31375C660B0F_.wvu.PrintTitles" localSheetId="0" hidden="1">Доходы!$4:$6</definedName>
    <definedName name="Z_7DC50C37_F81E_464D_BE66_31375C660B0F_.wvu.Rows" localSheetId="0" hidden="1">Доходы!$68:$69</definedName>
    <definedName name="Z_EFA3296C_EA11_4228_A03B_6841E5AF5251_.wvu.Cols" localSheetId="0" hidden="1">Доходы!$B:$H,Доходы!$J:$T,Доходы!$V:$V,Доходы!$Z:$Z,Доходы!$AH:$AI,Доходы!$AL:$AM,Доходы!$AR:$AT</definedName>
    <definedName name="Z_EFA3296C_EA11_4228_A03B_6841E5AF5251_.wvu.FilterData" localSheetId="0" hidden="1">Доходы!$A$6:$AU$63</definedName>
    <definedName name="Z_EFA3296C_EA11_4228_A03B_6841E5AF5251_.wvu.PrintArea" localSheetId="0" hidden="1">Доходы!$A$1:$AR$66</definedName>
    <definedName name="Z_EFA3296C_EA11_4228_A03B_6841E5AF5251_.wvu.PrintTitles" localSheetId="0" hidden="1">Доходы!$4:$6</definedName>
    <definedName name="Z_EFA3296C_EA11_4228_A03B_6841E5AF5251_.wvu.Rows" localSheetId="0" hidden="1">Доходы!$68:$69</definedName>
    <definedName name="_xlnm.Print_Titles" localSheetId="0">Доходы!$4:$6</definedName>
    <definedName name="_xlnm.Print_Area" localSheetId="0">Доходы!$B$1:$AQ$66</definedName>
  </definedNames>
  <calcPr calcId="191029"/>
  <customWorkbookViews>
    <customWorkbookView name="BLPUSP2 - Личное представление" guid="{EFA3296C-EA11-4228-A03B-6841E5AF5251}" mergeInterval="0" personalView="1" maximized="1" xWindow="-8" yWindow="-8" windowWidth="1296" windowHeight="1000" activeSheetId="1"/>
    <customWorkbookView name="BLTOIV1 - Личное представление" guid="{4CBCD9D8-B3F5-4722-8CE7-38B89561B806}" mergeInterval="0" personalView="1" maximized="1" xWindow="-8" yWindow="-8" windowWidth="1296" windowHeight="1000" activeSheetId="1"/>
    <customWorkbookView name="BLGANV - Личное представление" guid="{7DC50C37-F81E-464D-BE66-31375C660B0F}" mergeInterval="0" personalView="1" maximized="1" xWindow="-8" yWindow="-8" windowWidth="1296" windowHeight="1000" activeSheetId="1"/>
    <customWorkbookView name="Пользователь - Личное представление" guid="{117A7AA9-056F-4018-98AD-EAECFC43F1B3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4" i="4" l="1"/>
  <c r="AC50" i="4"/>
  <c r="AC45" i="4"/>
  <c r="AC38" i="4"/>
  <c r="AC37" i="4" s="1"/>
  <c r="AC31" i="4"/>
  <c r="AC29" i="4"/>
  <c r="AC27" i="4"/>
  <c r="AC24" i="4"/>
  <c r="AC23" i="4" s="1"/>
  <c r="AC17" i="4"/>
  <c r="AC9" i="4" s="1"/>
  <c r="Y60" i="4"/>
  <c r="V54" i="4"/>
  <c r="V28" i="4"/>
  <c r="V26" i="4"/>
  <c r="V18" i="4"/>
  <c r="Y18" i="4" s="1"/>
  <c r="Y20" i="4"/>
  <c r="Y19" i="4"/>
  <c r="Y16" i="4"/>
  <c r="Y15" i="4"/>
  <c r="Y14" i="4"/>
  <c r="Y13" i="4"/>
  <c r="Y12" i="4"/>
  <c r="Y11" i="4"/>
  <c r="Y10" i="4"/>
  <c r="AC22" i="4" l="1"/>
  <c r="AC7" i="4" s="1"/>
  <c r="AC8" i="4" s="1"/>
  <c r="AB28" i="4"/>
  <c r="AA28" i="4"/>
  <c r="AA26" i="4"/>
  <c r="U10" i="4" l="1"/>
  <c r="T50" i="4"/>
  <c r="S50" i="4"/>
  <c r="T17" i="4"/>
  <c r="T9" i="4" s="1"/>
  <c r="T24" i="4"/>
  <c r="T27" i="4"/>
  <c r="T29" i="4"/>
  <c r="T31" i="4"/>
  <c r="T38" i="4"/>
  <c r="T37" i="4" s="1"/>
  <c r="T45" i="4"/>
  <c r="T54" i="4"/>
  <c r="S54" i="4"/>
  <c r="S45" i="4"/>
  <c r="S42" i="4"/>
  <c r="S40" i="4"/>
  <c r="S38" i="4"/>
  <c r="S37" i="4" s="1"/>
  <c r="S31" i="4"/>
  <c r="S29" i="4"/>
  <c r="S28" i="4"/>
  <c r="S27" i="4" s="1"/>
  <c r="S26" i="4"/>
  <c r="S24" i="4" s="1"/>
  <c r="S23" i="4" s="1"/>
  <c r="S25" i="4"/>
  <c r="S19" i="4"/>
  <c r="S18" i="4"/>
  <c r="S17" i="4"/>
  <c r="S9" i="4" s="1"/>
  <c r="T23" i="4" l="1"/>
  <c r="S22" i="4"/>
  <c r="T22" i="4"/>
  <c r="T7" i="4" s="1"/>
  <c r="T8" i="4" s="1"/>
  <c r="S7" i="4"/>
  <c r="S8" i="4" s="1"/>
  <c r="AD50" i="4" l="1"/>
  <c r="AD31" i="4" l="1"/>
  <c r="AG52" i="4"/>
  <c r="AG53" i="4"/>
  <c r="AF52" i="4"/>
  <c r="AF35" i="4"/>
  <c r="AF34" i="4"/>
  <c r="AF33" i="4"/>
  <c r="AF32" i="4"/>
  <c r="Y52" i="4"/>
  <c r="Y53" i="4"/>
  <c r="Y51" i="4"/>
  <c r="V50" i="4"/>
  <c r="W50" i="4"/>
  <c r="X50" i="4"/>
  <c r="U52" i="4"/>
  <c r="U53" i="4"/>
  <c r="U51" i="4"/>
  <c r="Y33" i="4"/>
  <c r="Y34" i="4"/>
  <c r="Y35" i="4"/>
  <c r="Y32" i="4"/>
  <c r="Z31" i="4"/>
  <c r="AA31" i="4"/>
  <c r="AB31" i="4"/>
  <c r="V31" i="4"/>
  <c r="W31" i="4"/>
  <c r="X31" i="4"/>
  <c r="U34" i="4"/>
  <c r="U35" i="4"/>
  <c r="U33" i="4"/>
  <c r="U32" i="4"/>
  <c r="U50" i="4" l="1"/>
  <c r="AQ33" i="4"/>
  <c r="AK33" i="4"/>
  <c r="AN34" i="4"/>
  <c r="AO34" i="4"/>
  <c r="AQ35" i="4"/>
  <c r="AJ32" i="4"/>
  <c r="AO32" i="4"/>
  <c r="AQ32" i="4"/>
  <c r="AK32" i="4"/>
  <c r="U31" i="4"/>
  <c r="AQ52" i="4"/>
  <c r="AJ34" i="4"/>
  <c r="AP32" i="4"/>
  <c r="AJ52" i="4"/>
  <c r="AJ35" i="4"/>
  <c r="AP33" i="4"/>
  <c r="AP34" i="4"/>
  <c r="AF31" i="4"/>
  <c r="AN52" i="4"/>
  <c r="AN32" i="4"/>
  <c r="AP35" i="4"/>
  <c r="AP52" i="4"/>
  <c r="AN33" i="4"/>
  <c r="AN35" i="4"/>
  <c r="AJ33" i="4"/>
  <c r="AF49" i="4"/>
  <c r="AF48" i="4"/>
  <c r="AF44" i="4"/>
  <c r="AF46" i="4"/>
  <c r="AF47" i="4"/>
  <c r="X17" i="4" l="1"/>
  <c r="V24" i="4" l="1"/>
  <c r="AE63" i="4"/>
  <c r="Y42" i="4"/>
  <c r="Y41" i="4"/>
  <c r="AA24" i="4"/>
  <c r="AB24" i="4"/>
  <c r="X9" i="4" l="1"/>
  <c r="AB38" i="4"/>
  <c r="AB37" i="4" s="1"/>
  <c r="AM63" i="4"/>
  <c r="Q63" i="4"/>
  <c r="AM62" i="4"/>
  <c r="AG62" i="4"/>
  <c r="AF62" i="4"/>
  <c r="Y62" i="4"/>
  <c r="U62" i="4"/>
  <c r="R62" i="4"/>
  <c r="P62" i="4"/>
  <c r="M62" i="4"/>
  <c r="K62" i="4"/>
  <c r="AM61" i="4"/>
  <c r="AG61" i="4"/>
  <c r="AF61" i="4"/>
  <c r="Y61" i="4"/>
  <c r="U61" i="4"/>
  <c r="R61" i="4"/>
  <c r="P61" i="4"/>
  <c r="M61" i="4"/>
  <c r="AS61" i="4" s="1"/>
  <c r="K61" i="4"/>
  <c r="AM60" i="4"/>
  <c r="AG60" i="4"/>
  <c r="AF60" i="4"/>
  <c r="AM59" i="4"/>
  <c r="AG59" i="4"/>
  <c r="AF59" i="4"/>
  <c r="Y59" i="4"/>
  <c r="U59" i="4"/>
  <c r="R59" i="4"/>
  <c r="P59" i="4"/>
  <c r="K59" i="4"/>
  <c r="AT58" i="4"/>
  <c r="AM58" i="4"/>
  <c r="AG58" i="4"/>
  <c r="AF58" i="4"/>
  <c r="Y58" i="4"/>
  <c r="U58" i="4"/>
  <c r="R58" i="4"/>
  <c r="P58" i="4"/>
  <c r="M58" i="4"/>
  <c r="K58" i="4"/>
  <c r="AT57" i="4"/>
  <c r="AM57" i="4"/>
  <c r="AG57" i="4"/>
  <c r="AF57" i="4"/>
  <c r="Y57" i="4"/>
  <c r="U57" i="4"/>
  <c r="R57" i="4"/>
  <c r="P57" i="4"/>
  <c r="M57" i="4"/>
  <c r="K57" i="4"/>
  <c r="AT56" i="4"/>
  <c r="AM56" i="4"/>
  <c r="AG56" i="4"/>
  <c r="AF56" i="4"/>
  <c r="AN56" i="4" s="1"/>
  <c r="Y56" i="4"/>
  <c r="U56" i="4"/>
  <c r="R56" i="4"/>
  <c r="P56" i="4"/>
  <c r="M56" i="4"/>
  <c r="K56" i="4"/>
  <c r="AM55" i="4"/>
  <c r="AG55" i="4"/>
  <c r="AF55" i="4"/>
  <c r="AO55" i="4" s="1"/>
  <c r="Y55" i="4"/>
  <c r="U55" i="4"/>
  <c r="R55" i="4"/>
  <c r="P55" i="4"/>
  <c r="M55" i="4"/>
  <c r="K55" i="4"/>
  <c r="AM54" i="4"/>
  <c r="AD54" i="4"/>
  <c r="AB54" i="4"/>
  <c r="AA54" i="4"/>
  <c r="Z54" i="4"/>
  <c r="X54" i="4"/>
  <c r="O54" i="4"/>
  <c r="N54" i="4"/>
  <c r="L54" i="4"/>
  <c r="J54" i="4"/>
  <c r="AT53" i="4"/>
  <c r="AM53" i="4"/>
  <c r="AF53" i="4"/>
  <c r="K53" i="4"/>
  <c r="R53" i="4"/>
  <c r="P53" i="4"/>
  <c r="AM51" i="4"/>
  <c r="AG51" i="4"/>
  <c r="AF51" i="4"/>
  <c r="Y50" i="4"/>
  <c r="R51" i="4"/>
  <c r="P51" i="4"/>
  <c r="M51" i="4"/>
  <c r="K51" i="4"/>
  <c r="AM50" i="4"/>
  <c r="AG50" i="4"/>
  <c r="AB50" i="4"/>
  <c r="Z50" i="4"/>
  <c r="O50" i="4"/>
  <c r="N50" i="4"/>
  <c r="L50" i="4"/>
  <c r="J50" i="4"/>
  <c r="AM49" i="4"/>
  <c r="AG49" i="4"/>
  <c r="AO49" i="4"/>
  <c r="Y49" i="4"/>
  <c r="U49" i="4"/>
  <c r="R49" i="4"/>
  <c r="O49" i="4"/>
  <c r="P49" i="4" s="1"/>
  <c r="M49" i="4"/>
  <c r="K49" i="4"/>
  <c r="AM48" i="4"/>
  <c r="AG48" i="4"/>
  <c r="AT48" i="4"/>
  <c r="Y48" i="4"/>
  <c r="U48" i="4"/>
  <c r="R48" i="4"/>
  <c r="P48" i="4"/>
  <c r="M48" i="4"/>
  <c r="K48" i="4"/>
  <c r="AM47" i="4"/>
  <c r="AG47" i="4"/>
  <c r="Y47" i="4"/>
  <c r="U47" i="4"/>
  <c r="R47" i="4"/>
  <c r="P47" i="4"/>
  <c r="M47" i="4"/>
  <c r="K47" i="4"/>
  <c r="AM46" i="4"/>
  <c r="AG46" i="4"/>
  <c r="Y46" i="4"/>
  <c r="U46" i="4"/>
  <c r="R46" i="4"/>
  <c r="R45" i="4" s="1"/>
  <c r="P46" i="4"/>
  <c r="M46" i="4"/>
  <c r="AS46" i="4" s="1"/>
  <c r="K46" i="4"/>
  <c r="K45" i="4" s="1"/>
  <c r="AM45" i="4"/>
  <c r="AD45" i="4"/>
  <c r="AG45" i="4" s="1"/>
  <c r="AB45" i="4"/>
  <c r="AA45" i="4"/>
  <c r="Z45" i="4"/>
  <c r="X45" i="4"/>
  <c r="V45" i="4"/>
  <c r="O45" i="4"/>
  <c r="N45" i="4"/>
  <c r="L45" i="4"/>
  <c r="J45" i="4"/>
  <c r="AM44" i="4"/>
  <c r="AG44" i="4"/>
  <c r="Y44" i="4"/>
  <c r="U44" i="4"/>
  <c r="R44" i="4"/>
  <c r="P44" i="4"/>
  <c r="M44" i="4"/>
  <c r="AR44" i="4" s="1"/>
  <c r="K44" i="4"/>
  <c r="AG43" i="4"/>
  <c r="AF43" i="4"/>
  <c r="Y43" i="4"/>
  <c r="U43" i="4"/>
  <c r="R43" i="4"/>
  <c r="P43" i="4"/>
  <c r="AG42" i="4"/>
  <c r="AF42" i="4"/>
  <c r="AG41" i="4"/>
  <c r="AF41" i="4"/>
  <c r="AG40" i="4"/>
  <c r="AF40" i="4"/>
  <c r="Y40" i="4"/>
  <c r="U40" i="4"/>
  <c r="R40" i="4"/>
  <c r="P40" i="4"/>
  <c r="AG39" i="4"/>
  <c r="AF39" i="4"/>
  <c r="AO39" i="4" s="1"/>
  <c r="Y39" i="4"/>
  <c r="U39" i="4"/>
  <c r="R39" i="4"/>
  <c r="P39" i="4"/>
  <c r="AM38" i="4"/>
  <c r="AD38" i="4"/>
  <c r="AA38" i="4"/>
  <c r="AA37" i="4" s="1"/>
  <c r="Z38" i="4"/>
  <c r="Z37" i="4" s="1"/>
  <c r="X38" i="4"/>
  <c r="X37" i="4" s="1"/>
  <c r="V38" i="4"/>
  <c r="V37" i="4" s="1"/>
  <c r="M38" i="4"/>
  <c r="K38" i="4"/>
  <c r="AM37" i="4"/>
  <c r="O37" i="4"/>
  <c r="N37" i="4"/>
  <c r="L37" i="4"/>
  <c r="J37" i="4"/>
  <c r="AM36" i="4"/>
  <c r="AG36" i="4"/>
  <c r="AF36" i="4"/>
  <c r="Y36" i="4"/>
  <c r="U36" i="4"/>
  <c r="R36" i="4"/>
  <c r="P36" i="4"/>
  <c r="M36" i="4"/>
  <c r="K36" i="4"/>
  <c r="AM35" i="4"/>
  <c r="AG35" i="4"/>
  <c r="Y31" i="4"/>
  <c r="R35" i="4"/>
  <c r="R31" i="4" s="1"/>
  <c r="P35" i="4"/>
  <c r="P31" i="4" s="1"/>
  <c r="M35" i="4"/>
  <c r="M31" i="4" s="1"/>
  <c r="K35" i="4"/>
  <c r="K31" i="4" s="1"/>
  <c r="AM31" i="4"/>
  <c r="AG31" i="4"/>
  <c r="O31" i="4"/>
  <c r="N31" i="4"/>
  <c r="L31" i="4"/>
  <c r="J31" i="4"/>
  <c r="AM30" i="4"/>
  <c r="AG30" i="4"/>
  <c r="AF30" i="4"/>
  <c r="AK30" i="4" s="1"/>
  <c r="Y30" i="4"/>
  <c r="Y29" i="4" s="1"/>
  <c r="U30" i="4"/>
  <c r="U29" i="4" s="1"/>
  <c r="R30" i="4"/>
  <c r="R29" i="4" s="1"/>
  <c r="O30" i="4"/>
  <c r="O29" i="4" s="1"/>
  <c r="M30" i="4"/>
  <c r="M29" i="4" s="1"/>
  <c r="K30" i="4"/>
  <c r="K29" i="4" s="1"/>
  <c r="AM29" i="4"/>
  <c r="AD29" i="4"/>
  <c r="AG29" i="4" s="1"/>
  <c r="AB29" i="4"/>
  <c r="AA29" i="4"/>
  <c r="Z29" i="4"/>
  <c r="X29" i="4"/>
  <c r="V29" i="4"/>
  <c r="N29" i="4"/>
  <c r="L29" i="4"/>
  <c r="J29" i="4"/>
  <c r="AG28" i="4"/>
  <c r="AF28" i="4"/>
  <c r="Y28" i="4"/>
  <c r="Y27" i="4" s="1"/>
  <c r="U28" i="4"/>
  <c r="U27" i="4" s="1"/>
  <c r="R28" i="4"/>
  <c r="AM27" i="4"/>
  <c r="AD27" i="4"/>
  <c r="AG27" i="4" s="1"/>
  <c r="AB27" i="4"/>
  <c r="AA27" i="4"/>
  <c r="Z27" i="4"/>
  <c r="V27" i="4"/>
  <c r="R27" i="4"/>
  <c r="P27" i="4"/>
  <c r="M27" i="4"/>
  <c r="K27" i="4"/>
  <c r="AG26" i="4"/>
  <c r="AF26" i="4"/>
  <c r="Y26" i="4"/>
  <c r="R26" i="4"/>
  <c r="AG25" i="4"/>
  <c r="AF25" i="4"/>
  <c r="Y25" i="4"/>
  <c r="R25" i="4"/>
  <c r="AM24" i="4"/>
  <c r="AD24" i="4"/>
  <c r="Z24" i="4"/>
  <c r="X24" i="4"/>
  <c r="U24" i="4"/>
  <c r="R24" i="4"/>
  <c r="P24" i="4"/>
  <c r="M24" i="4"/>
  <c r="K24" i="4"/>
  <c r="AM23" i="4"/>
  <c r="N23" i="4"/>
  <c r="AM22" i="4"/>
  <c r="AF21" i="4"/>
  <c r="Y21" i="4"/>
  <c r="U21" i="4"/>
  <c r="AM20" i="4"/>
  <c r="AG20" i="4"/>
  <c r="AF20" i="4"/>
  <c r="U20" i="4"/>
  <c r="R20" i="4"/>
  <c r="P20" i="4"/>
  <c r="M20" i="4"/>
  <c r="K20" i="4"/>
  <c r="AM19" i="4"/>
  <c r="AG19" i="4"/>
  <c r="AF19" i="4"/>
  <c r="U19" i="4"/>
  <c r="R19" i="4"/>
  <c r="P19" i="4"/>
  <c r="M19" i="4"/>
  <c r="K19" i="4"/>
  <c r="AM18" i="4"/>
  <c r="AG18" i="4"/>
  <c r="AF18" i="4"/>
  <c r="U18" i="4"/>
  <c r="U17" i="4" s="1"/>
  <c r="R18" i="4"/>
  <c r="R17" i="4" s="1"/>
  <c r="P18" i="4"/>
  <c r="M18" i="4"/>
  <c r="K18" i="4"/>
  <c r="K17" i="4" s="1"/>
  <c r="AM17" i="4"/>
  <c r="AD17" i="4"/>
  <c r="AG17" i="4" s="1"/>
  <c r="AB17" i="4"/>
  <c r="AB9" i="4" s="1"/>
  <c r="AA17" i="4"/>
  <c r="AA9" i="4" s="1"/>
  <c r="Z17" i="4"/>
  <c r="Z9" i="4" s="1"/>
  <c r="V17" i="4"/>
  <c r="V9" i="4" s="1"/>
  <c r="O17" i="4"/>
  <c r="N17" i="4"/>
  <c r="L17" i="4"/>
  <c r="J17" i="4"/>
  <c r="AM16" i="4"/>
  <c r="AG16" i="4"/>
  <c r="AF16" i="4"/>
  <c r="U16" i="4"/>
  <c r="R16" i="4"/>
  <c r="P16" i="4"/>
  <c r="M16" i="4"/>
  <c r="K16" i="4"/>
  <c r="AM15" i="4"/>
  <c r="AG15" i="4"/>
  <c r="AF15" i="4"/>
  <c r="U15" i="4"/>
  <c r="R15" i="4"/>
  <c r="P15" i="4"/>
  <c r="M15" i="4"/>
  <c r="K15" i="4"/>
  <c r="AM14" i="4"/>
  <c r="AG14" i="4"/>
  <c r="AF14" i="4"/>
  <c r="U14" i="4"/>
  <c r="R14" i="4"/>
  <c r="P14" i="4"/>
  <c r="M14" i="4"/>
  <c r="K14" i="4"/>
  <c r="AM13" i="4"/>
  <c r="AG13" i="4"/>
  <c r="AF13" i="4"/>
  <c r="AQ13" i="4" s="1"/>
  <c r="P13" i="4"/>
  <c r="M13" i="4"/>
  <c r="K13" i="4"/>
  <c r="AM12" i="4"/>
  <c r="AG12" i="4"/>
  <c r="AF12" i="4"/>
  <c r="U12" i="4"/>
  <c r="R12" i="4"/>
  <c r="P12" i="4"/>
  <c r="M12" i="4"/>
  <c r="AS12" i="4" s="1"/>
  <c r="K12" i="4"/>
  <c r="AM11" i="4"/>
  <c r="AG11" i="4"/>
  <c r="AF11" i="4"/>
  <c r="AN11" i="4" s="1"/>
  <c r="U11" i="4"/>
  <c r="R11" i="4"/>
  <c r="P11" i="4"/>
  <c r="M11" i="4"/>
  <c r="K11" i="4"/>
  <c r="AT10" i="4"/>
  <c r="AM10" i="4"/>
  <c r="AG10" i="4"/>
  <c r="AF10" i="4"/>
  <c r="AQ10" i="4" s="1"/>
  <c r="R10" i="4"/>
  <c r="P10" i="4"/>
  <c r="M10" i="4"/>
  <c r="K10" i="4"/>
  <c r="AM7" i="4"/>
  <c r="AH61" i="4" l="1"/>
  <c r="AQ61" i="4"/>
  <c r="AQ43" i="4"/>
  <c r="AL57" i="4"/>
  <c r="AO57" i="4"/>
  <c r="AQ62" i="4"/>
  <c r="AN58" i="4"/>
  <c r="AO58" i="4"/>
  <c r="AO14" i="4"/>
  <c r="AQ14" i="4"/>
  <c r="AO15" i="4"/>
  <c r="AQ15" i="4"/>
  <c r="AO16" i="4"/>
  <c r="AQ16" i="4"/>
  <c r="AQ59" i="4"/>
  <c r="Y54" i="4"/>
  <c r="AL18" i="4"/>
  <c r="AQ18" i="4"/>
  <c r="AN19" i="4"/>
  <c r="AQ19" i="4"/>
  <c r="M37" i="4"/>
  <c r="AK12" i="4"/>
  <c r="AQ12" i="4"/>
  <c r="AP60" i="4"/>
  <c r="AQ60" i="4"/>
  <c r="AO10" i="4"/>
  <c r="AF50" i="4"/>
  <c r="AD37" i="4"/>
  <c r="AG37" i="4" s="1"/>
  <c r="AN53" i="4"/>
  <c r="AJ53" i="4"/>
  <c r="R38" i="4"/>
  <c r="AS62" i="4"/>
  <c r="O23" i="4"/>
  <c r="O7" i="4" s="1"/>
  <c r="O63" i="4" s="1"/>
  <c r="P38" i="4"/>
  <c r="P37" i="4" s="1"/>
  <c r="AR20" i="4"/>
  <c r="W9" i="4"/>
  <c r="M45" i="4"/>
  <c r="M23" i="4"/>
  <c r="P54" i="4"/>
  <c r="J23" i="4"/>
  <c r="J7" i="4" s="1"/>
  <c r="J63" i="4" s="1"/>
  <c r="K37" i="4"/>
  <c r="R54" i="4"/>
  <c r="L23" i="4"/>
  <c r="L7" i="4" s="1"/>
  <c r="L63" i="4" s="1"/>
  <c r="R50" i="4"/>
  <c r="K23" i="4"/>
  <c r="AS30" i="4"/>
  <c r="U38" i="4"/>
  <c r="U37" i="4" s="1"/>
  <c r="N7" i="4"/>
  <c r="N63" i="4" s="1"/>
  <c r="M17" i="4"/>
  <c r="X23" i="4"/>
  <c r="X22" i="4" s="1"/>
  <c r="X7" i="4" s="1"/>
  <c r="X8" i="4" s="1"/>
  <c r="P30" i="4"/>
  <c r="P29" i="4" s="1"/>
  <c r="P23" i="4" s="1"/>
  <c r="P50" i="4"/>
  <c r="K50" i="4"/>
  <c r="P17" i="4"/>
  <c r="AR51" i="4"/>
  <c r="T3" i="4"/>
  <c r="U45" i="4"/>
  <c r="P45" i="4"/>
  <c r="U23" i="4"/>
  <c r="R37" i="4"/>
  <c r="K54" i="4"/>
  <c r="U54" i="4"/>
  <c r="AN42" i="4"/>
  <c r="AK42" i="4"/>
  <c r="AL13" i="4"/>
  <c r="AN46" i="4"/>
  <c r="AP21" i="4"/>
  <c r="Y45" i="4"/>
  <c r="Y17" i="4"/>
  <c r="Y9" i="4" s="1"/>
  <c r="AR35" i="4"/>
  <c r="AK47" i="4"/>
  <c r="AR47" i="4"/>
  <c r="AF29" i="4"/>
  <c r="AG38" i="4"/>
  <c r="AS35" i="4"/>
  <c r="AL56" i="4"/>
  <c r="AN39" i="4"/>
  <c r="AR56" i="4"/>
  <c r="AC63" i="4"/>
  <c r="Y24" i="4"/>
  <c r="Y23" i="4" s="1"/>
  <c r="AS57" i="4"/>
  <c r="AP56" i="4"/>
  <c r="AH56" i="4"/>
  <c r="AS48" i="4"/>
  <c r="AN20" i="4"/>
  <c r="AD9" i="4"/>
  <c r="AG9" i="4" s="1"/>
  <c r="AN18" i="4"/>
  <c r="AN13" i="4"/>
  <c r="AS11" i="4"/>
  <c r="Y38" i="4"/>
  <c r="Y37" i="4" s="1"/>
  <c r="AP39" i="4"/>
  <c r="AP28" i="4"/>
  <c r="AJ14" i="4"/>
  <c r="AP19" i="4"/>
  <c r="AJ21" i="4"/>
  <c r="AP46" i="4"/>
  <c r="AO53" i="4"/>
  <c r="AK57" i="4"/>
  <c r="AH44" i="4"/>
  <c r="AJ15" i="4"/>
  <c r="AN21" i="4"/>
  <c r="AJ10" i="4"/>
  <c r="AP11" i="4"/>
  <c r="AO18" i="4"/>
  <c r="AP30" i="4"/>
  <c r="AO42" i="4"/>
  <c r="AS44" i="4"/>
  <c r="AJ44" i="4"/>
  <c r="AT46" i="4"/>
  <c r="AN57" i="4"/>
  <c r="AS15" i="4"/>
  <c r="AR30" i="4"/>
  <c r="AL44" i="4"/>
  <c r="AH11" i="4"/>
  <c r="AH39" i="4"/>
  <c r="AN44" i="4"/>
  <c r="AP44" i="4"/>
  <c r="AT44" i="4"/>
  <c r="AH46" i="4"/>
  <c r="AN48" i="4"/>
  <c r="AS56" i="4"/>
  <c r="AI56" i="4"/>
  <c r="AP49" i="4"/>
  <c r="AD23" i="4"/>
  <c r="AG23" i="4" s="1"/>
  <c r="AN28" i="4"/>
  <c r="AO28" i="4"/>
  <c r="AG24" i="4"/>
  <c r="AT18" i="4"/>
  <c r="AH19" i="4"/>
  <c r="AI19" i="4"/>
  <c r="AH18" i="4"/>
  <c r="AK19" i="4"/>
  <c r="AK18" i="4"/>
  <c r="AS19" i="4"/>
  <c r="AH16" i="4"/>
  <c r="AS16" i="4"/>
  <c r="AI16" i="4"/>
  <c r="AK16" i="4"/>
  <c r="AL16" i="4"/>
  <c r="AR16" i="4"/>
  <c r="AH15" i="4"/>
  <c r="AI15" i="4"/>
  <c r="AK14" i="4"/>
  <c r="AL14" i="4"/>
  <c r="AN14" i="4"/>
  <c r="AS14" i="4"/>
  <c r="AN12" i="4"/>
  <c r="AI11" i="4"/>
  <c r="AK11" i="4"/>
  <c r="AL11" i="4"/>
  <c r="AR11" i="4"/>
  <c r="AS10" i="4"/>
  <c r="AP55" i="4"/>
  <c r="AP47" i="4"/>
  <c r="AP36" i="4"/>
  <c r="V23" i="4"/>
  <c r="V22" i="4" s="1"/>
  <c r="V7" i="4" s="1"/>
  <c r="AQ25" i="4"/>
  <c r="AB23" i="4"/>
  <c r="AB22" i="4" s="1"/>
  <c r="AB7" i="4" s="1"/>
  <c r="AR59" i="4"/>
  <c r="AS36" i="4"/>
  <c r="AP42" i="4"/>
  <c r="AS59" i="4"/>
  <c r="AH36" i="4"/>
  <c r="AH59" i="4"/>
  <c r="AT59" i="4"/>
  <c r="AH62" i="4"/>
  <c r="AR36" i="4"/>
  <c r="AP58" i="4"/>
  <c r="AI10" i="4"/>
  <c r="AJ11" i="4"/>
  <c r="AP16" i="4"/>
  <c r="AS18" i="4"/>
  <c r="AH21" i="4"/>
  <c r="AJ36" i="4"/>
  <c r="AQ39" i="4"/>
  <c r="AR46" i="4"/>
  <c r="AJ59" i="4"/>
  <c r="AK36" i="4"/>
  <c r="AL36" i="4"/>
  <c r="AI46" i="4"/>
  <c r="AN49" i="4"/>
  <c r="AQ51" i="4"/>
  <c r="AJ56" i="4"/>
  <c r="AN60" i="4"/>
  <c r="AR62" i="4"/>
  <c r="AP62" i="4"/>
  <c r="AL59" i="4"/>
  <c r="AN10" i="4"/>
  <c r="AO11" i="4"/>
  <c r="AS13" i="4"/>
  <c r="AT14" i="4"/>
  <c r="AJ16" i="4"/>
  <c r="AJ19" i="4"/>
  <c r="AQ36" i="4"/>
  <c r="AN36" i="4"/>
  <c r="AJ46" i="4"/>
  <c r="AK56" i="4"/>
  <c r="AN59" i="4"/>
  <c r="O8" i="4"/>
  <c r="AK41" i="4"/>
  <c r="AJ41" i="4"/>
  <c r="AI41" i="4"/>
  <c r="AP43" i="4"/>
  <c r="AP61" i="4"/>
  <c r="AN61" i="4"/>
  <c r="AL61" i="4"/>
  <c r="AO12" i="4"/>
  <c r="AR15" i="4"/>
  <c r="AR19" i="4"/>
  <c r="AP20" i="4"/>
  <c r="AH20" i="4"/>
  <c r="AO20" i="4"/>
  <c r="AQ20" i="4"/>
  <c r="AF24" i="4"/>
  <c r="AS24" i="4" s="1"/>
  <c r="AN25" i="4"/>
  <c r="AP26" i="4"/>
  <c r="AO40" i="4"/>
  <c r="AN40" i="4"/>
  <c r="AK40" i="4"/>
  <c r="AR48" i="4"/>
  <c r="AA50" i="4"/>
  <c r="AL55" i="4"/>
  <c r="AK55" i="4"/>
  <c r="AR55" i="4"/>
  <c r="AJ55" i="4"/>
  <c r="AQ55" i="4"/>
  <c r="AP59" i="4"/>
  <c r="AH43" i="4"/>
  <c r="AI20" i="4"/>
  <c r="AS20" i="4"/>
  <c r="AH25" i="4"/>
  <c r="AI26" i="4"/>
  <c r="AH26" i="4"/>
  <c r="AL30" i="4"/>
  <c r="AJ30" i="4"/>
  <c r="AT30" i="4"/>
  <c r="AT29" i="4" s="1"/>
  <c r="AH40" i="4"/>
  <c r="AN41" i="4"/>
  <c r="AJ43" i="4"/>
  <c r="AL47" i="4"/>
  <c r="AT47" i="4"/>
  <c r="AJ47" i="4"/>
  <c r="AS47" i="4"/>
  <c r="AK49" i="4"/>
  <c r="AR49" i="4"/>
  <c r="AJ49" i="4"/>
  <c r="AQ49" i="4"/>
  <c r="AI49" i="4"/>
  <c r="AT49" i="4"/>
  <c r="AP51" i="4"/>
  <c r="AN51" i="4"/>
  <c r="AS51" i="4"/>
  <c r="AQ53" i="4"/>
  <c r="AI53" i="4"/>
  <c r="AP53" i="4"/>
  <c r="AH53" i="4"/>
  <c r="M53" i="4"/>
  <c r="AG54" i="4"/>
  <c r="AH55" i="4"/>
  <c r="AL58" i="4"/>
  <c r="AK58" i="4"/>
  <c r="AR58" i="4"/>
  <c r="AJ58" i="4"/>
  <c r="AQ58" i="4"/>
  <c r="AJ61" i="4"/>
  <c r="AQ26" i="4"/>
  <c r="AQ48" i="4"/>
  <c r="AI48" i="4"/>
  <c r="AP48" i="4"/>
  <c r="AH48" i="4"/>
  <c r="AO48" i="4"/>
  <c r="AL10" i="4"/>
  <c r="AK10" i="4"/>
  <c r="AP10" i="4"/>
  <c r="AH12" i="4"/>
  <c r="AT12" i="4"/>
  <c r="AP13" i="4"/>
  <c r="AJ20" i="4"/>
  <c r="AT20" i="4"/>
  <c r="AI25" i="4"/>
  <c r="AI28" i="4"/>
  <c r="AH28" i="4"/>
  <c r="AQ28" i="4"/>
  <c r="AL35" i="4"/>
  <c r="AO31" i="4"/>
  <c r="AT35" i="4"/>
  <c r="AT31" i="4" s="1"/>
  <c r="AI40" i="4"/>
  <c r="AO41" i="4"/>
  <c r="AN43" i="4"/>
  <c r="AF45" i="4"/>
  <c r="AJ48" i="4"/>
  <c r="AT51" i="4"/>
  <c r="AT50" i="4" s="1"/>
  <c r="AF54" i="4"/>
  <c r="AS55" i="4"/>
  <c r="M54" i="4"/>
  <c r="AI55" i="4"/>
  <c r="AH41" i="4"/>
  <c r="AH13" i="4"/>
  <c r="AR13" i="4"/>
  <c r="AN15" i="4"/>
  <c r="AR18" i="4"/>
  <c r="AJ18" i="4"/>
  <c r="AI18" i="4"/>
  <c r="AF17" i="4"/>
  <c r="AP18" i="4"/>
  <c r="AK20" i="4"/>
  <c r="AJ25" i="4"/>
  <c r="AJ26" i="4"/>
  <c r="AH30" i="4"/>
  <c r="AJ40" i="4"/>
  <c r="AP41" i="4"/>
  <c r="AH47" i="4"/>
  <c r="AK48" i="4"/>
  <c r="AS49" i="4"/>
  <c r="AH49" i="4"/>
  <c r="AH51" i="4"/>
  <c r="AK53" i="4"/>
  <c r="AR57" i="4"/>
  <c r="AJ57" i="4"/>
  <c r="AQ57" i="4"/>
  <c r="AI57" i="4"/>
  <c r="AP57" i="4"/>
  <c r="AH57" i="4"/>
  <c r="AH58" i="4"/>
  <c r="AL60" i="4"/>
  <c r="AJ60" i="4"/>
  <c r="AH60" i="4"/>
  <c r="AR61" i="4"/>
  <c r="AR12" i="4"/>
  <c r="AJ12" i="4"/>
  <c r="AI12" i="4"/>
  <c r="AH10" i="4"/>
  <c r="AR10" i="4"/>
  <c r="AL12" i="4"/>
  <c r="AI13" i="4"/>
  <c r="AI14" i="4"/>
  <c r="AP14" i="4"/>
  <c r="AH14" i="4"/>
  <c r="AR14" i="4"/>
  <c r="AT19" i="4"/>
  <c r="AL19" i="4"/>
  <c r="AO19" i="4"/>
  <c r="AL20" i="4"/>
  <c r="Z23" i="4"/>
  <c r="Z22" i="4" s="1"/>
  <c r="Z7" i="4" s="1"/>
  <c r="AK25" i="4"/>
  <c r="AK26" i="4"/>
  <c r="AJ28" i="4"/>
  <c r="AH35" i="4"/>
  <c r="AK39" i="4"/>
  <c r="AJ39" i="4"/>
  <c r="AI39" i="4"/>
  <c r="AP40" i="4"/>
  <c r="AJ42" i="4"/>
  <c r="AI42" i="4"/>
  <c r="AH42" i="4"/>
  <c r="AL48" i="4"/>
  <c r="AL49" i="4"/>
  <c r="AJ51" i="4"/>
  <c r="AL53" i="4"/>
  <c r="AN55" i="4"/>
  <c r="AS58" i="4"/>
  <c r="AI58" i="4"/>
  <c r="AN62" i="4"/>
  <c r="AL62" i="4"/>
  <c r="AT62" i="4"/>
  <c r="AJ62" i="4"/>
  <c r="AP12" i="4"/>
  <c r="AJ13" i="4"/>
  <c r="AT13" i="4"/>
  <c r="AT15" i="4"/>
  <c r="AL15" i="4"/>
  <c r="AK15" i="4"/>
  <c r="AP15" i="4"/>
  <c r="R23" i="4"/>
  <c r="AA23" i="4"/>
  <c r="AP25" i="4"/>
  <c r="AN26" i="4"/>
  <c r="AF27" i="4"/>
  <c r="AK28" i="4"/>
  <c r="AN30" i="4"/>
  <c r="AF38" i="4"/>
  <c r="AQ40" i="4"/>
  <c r="AN47" i="4"/>
  <c r="AL51" i="4"/>
  <c r="AT61" i="4"/>
  <c r="AN16" i="4"/>
  <c r="AO36" i="4"/>
  <c r="AL46" i="4"/>
  <c r="AF9" i="4" l="1"/>
  <c r="AQ17" i="4"/>
  <c r="AS29" i="4"/>
  <c r="AK29" i="4"/>
  <c r="W7" i="4"/>
  <c r="K7" i="4"/>
  <c r="K63" i="4" s="1"/>
  <c r="S63" i="4"/>
  <c r="AA22" i="4"/>
  <c r="AA7" i="4" s="1"/>
  <c r="AA8" i="4" s="1"/>
  <c r="P7" i="4"/>
  <c r="P63" i="4" s="1"/>
  <c r="U22" i="4"/>
  <c r="AN29" i="4"/>
  <c r="AJ29" i="4"/>
  <c r="AP29" i="4"/>
  <c r="AH29" i="4"/>
  <c r="AR29" i="4"/>
  <c r="AL29" i="4"/>
  <c r="AT45" i="4"/>
  <c r="AD22" i="4"/>
  <c r="AG22" i="4" s="1"/>
  <c r="X63" i="4"/>
  <c r="AT17" i="4"/>
  <c r="Y22" i="4"/>
  <c r="Y7" i="4" s="1"/>
  <c r="V8" i="4"/>
  <c r="V63" i="4"/>
  <c r="V66" i="4" s="1"/>
  <c r="AT54" i="4"/>
  <c r="AB8" i="4"/>
  <c r="AB63" i="4"/>
  <c r="AB66" i="4" s="1"/>
  <c r="Z8" i="4"/>
  <c r="Z63" i="4"/>
  <c r="AO17" i="4"/>
  <c r="AN17" i="4"/>
  <c r="AK17" i="4"/>
  <c r="AJ17" i="4"/>
  <c r="AI17" i="4"/>
  <c r="AR17" i="4"/>
  <c r="AH17" i="4"/>
  <c r="AP17" i="4"/>
  <c r="AL17" i="4"/>
  <c r="AN38" i="4"/>
  <c r="AT38" i="4"/>
  <c r="AT37" i="4" s="1"/>
  <c r="AL38" i="4"/>
  <c r="AQ38" i="4"/>
  <c r="AP38" i="4"/>
  <c r="AO38" i="4"/>
  <c r="AJ38" i="4"/>
  <c r="AK38" i="4"/>
  <c r="AF37" i="4"/>
  <c r="AS38" i="4"/>
  <c r="AH38" i="4"/>
  <c r="AR38" i="4"/>
  <c r="M50" i="4"/>
  <c r="AS53" i="4"/>
  <c r="AJ50" i="4"/>
  <c r="AQ50" i="4"/>
  <c r="AI50" i="4"/>
  <c r="AP50" i="4"/>
  <c r="AH50" i="4"/>
  <c r="AL50" i="4"/>
  <c r="AO50" i="4"/>
  <c r="AK50" i="4"/>
  <c r="AN50" i="4"/>
  <c r="AP31" i="4"/>
  <c r="AN31" i="4"/>
  <c r="AK31" i="4"/>
  <c r="AJ31" i="4"/>
  <c r="AQ31" i="4"/>
  <c r="AH31" i="4"/>
  <c r="AS31" i="4"/>
  <c r="AR31" i="4"/>
  <c r="AL31" i="4"/>
  <c r="AS54" i="4"/>
  <c r="AS27" i="4"/>
  <c r="AR27" i="4"/>
  <c r="AJ27" i="4"/>
  <c r="AQ27" i="4"/>
  <c r="AI27" i="4"/>
  <c r="AP27" i="4"/>
  <c r="AO27" i="4"/>
  <c r="AN27" i="4"/>
  <c r="AK27" i="4"/>
  <c r="AL27" i="4"/>
  <c r="AH27" i="4"/>
  <c r="AT27" i="4"/>
  <c r="AN24" i="4"/>
  <c r="AL24" i="4"/>
  <c r="AP24" i="4"/>
  <c r="AT24" i="4"/>
  <c r="AK24" i="4"/>
  <c r="AJ24" i="4"/>
  <c r="AR24" i="4"/>
  <c r="AI24" i="4"/>
  <c r="AQ24" i="4"/>
  <c r="AH24" i="4"/>
  <c r="AF23" i="4"/>
  <c r="AJ45" i="4"/>
  <c r="AR45" i="4"/>
  <c r="AI45" i="4"/>
  <c r="AH45" i="4"/>
  <c r="AL45" i="4"/>
  <c r="AK45" i="4"/>
  <c r="AP45" i="4"/>
  <c r="AN45" i="4"/>
  <c r="AS45" i="4"/>
  <c r="AR54" i="4"/>
  <c r="AJ54" i="4"/>
  <c r="AQ54" i="4"/>
  <c r="AI54" i="4"/>
  <c r="AP54" i="4"/>
  <c r="AH54" i="4"/>
  <c r="AO54" i="4"/>
  <c r="AL54" i="4"/>
  <c r="AK54" i="4"/>
  <c r="AN54" i="4"/>
  <c r="AR53" i="4"/>
  <c r="AS17" i="4"/>
  <c r="AA63" i="4" l="1"/>
  <c r="P8" i="4"/>
  <c r="V3" i="4"/>
  <c r="W8" i="4"/>
  <c r="V65" i="4"/>
  <c r="AD7" i="4"/>
  <c r="AG7" i="4" s="1"/>
  <c r="Y8" i="4"/>
  <c r="Y63" i="4"/>
  <c r="AT23" i="4"/>
  <c r="AT7" i="4" s="1"/>
  <c r="AT63" i="4" s="1"/>
  <c r="AS50" i="4"/>
  <c r="M7" i="4"/>
  <c r="AR37" i="4"/>
  <c r="AJ37" i="4"/>
  <c r="AQ37" i="4"/>
  <c r="AH37" i="4"/>
  <c r="AP37" i="4"/>
  <c r="AO37" i="4"/>
  <c r="AN37" i="4"/>
  <c r="AL37" i="4"/>
  <c r="AK37" i="4"/>
  <c r="AS37" i="4"/>
  <c r="AR50" i="4"/>
  <c r="AK23" i="4"/>
  <c r="AR23" i="4"/>
  <c r="AJ23" i="4"/>
  <c r="AN23" i="4"/>
  <c r="AL23" i="4"/>
  <c r="AI23" i="4"/>
  <c r="AH23" i="4"/>
  <c r="AF22" i="4"/>
  <c r="AF7" i="4" s="1"/>
  <c r="AQ23" i="4"/>
  <c r="AP23" i="4"/>
  <c r="AO23" i="4"/>
  <c r="AS23" i="4"/>
  <c r="AN9" i="4"/>
  <c r="AK9" i="4"/>
  <c r="AQ9" i="4"/>
  <c r="AP9" i="4"/>
  <c r="AO9" i="4"/>
  <c r="AJ9" i="4"/>
  <c r="Z3" i="4" l="1"/>
  <c r="AD8" i="4"/>
  <c r="AG8" i="4" s="1"/>
  <c r="AD63" i="4"/>
  <c r="AS7" i="4"/>
  <c r="M63" i="4"/>
  <c r="AQ7" i="4"/>
  <c r="AI7" i="4"/>
  <c r="AP7" i="4"/>
  <c r="AH7" i="4"/>
  <c r="AJ7" i="4"/>
  <c r="AR7" i="4"/>
  <c r="AO7" i="4"/>
  <c r="AN7" i="4"/>
  <c r="AK7" i="4"/>
  <c r="AF8" i="4"/>
  <c r="AL7" i="4"/>
  <c r="AF63" i="4"/>
  <c r="AQ22" i="4"/>
  <c r="AI22" i="4"/>
  <c r="AP22" i="4"/>
  <c r="AH22" i="4"/>
  <c r="AL22" i="4"/>
  <c r="AK22" i="4"/>
  <c r="AO22" i="4"/>
  <c r="AJ22" i="4"/>
  <c r="AN22" i="4"/>
  <c r="AG63" i="4" l="1"/>
  <c r="AL63" i="4"/>
  <c r="AK63" i="4"/>
  <c r="AR63" i="4"/>
  <c r="AJ63" i="4"/>
  <c r="AQ63" i="4"/>
  <c r="AP63" i="4"/>
  <c r="AI63" i="4"/>
  <c r="AO63" i="4"/>
  <c r="AN63" i="4"/>
  <c r="AH63" i="4"/>
  <c r="AO8" i="4"/>
  <c r="AN8" i="4"/>
  <c r="AP8" i="4"/>
  <c r="AK8" i="4"/>
  <c r="AJ8" i="4"/>
  <c r="AQ8" i="4"/>
  <c r="AI8" i="4"/>
  <c r="AH8" i="4"/>
  <c r="AS63" i="4"/>
  <c r="T63" i="4"/>
  <c r="U13" i="4"/>
  <c r="U9" i="4" s="1"/>
  <c r="R13" i="4"/>
  <c r="R7" i="4" s="1"/>
  <c r="U7" i="4" l="1"/>
  <c r="U8" i="4" s="1"/>
  <c r="R8" i="4"/>
  <c r="R63" i="4"/>
  <c r="U63" i="4"/>
</calcChain>
</file>

<file path=xl/sharedStrings.xml><?xml version="1.0" encoding="utf-8"?>
<sst xmlns="http://schemas.openxmlformats.org/spreadsheetml/2006/main" count="129" uniqueCount="105">
  <si>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</si>
  <si>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</si>
  <si>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</si>
  <si>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</si>
  <si>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</si>
  <si>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</si>
  <si>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</si>
  <si>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</si>
  <si>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</si>
  <si>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</si>
  <si>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</si>
  <si>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</si>
  <si>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</si>
  <si>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</si>
  <si>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</si>
  <si>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</si>
  <si>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</si>
  <si>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</si>
  <si>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</si>
  <si>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</si>
  <si>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</si>
  <si>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</si>
  <si>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</si>
  <si>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</si>
  <si>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</si>
  <si>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</si>
  <si>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</si>
  <si>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</si>
  <si>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</si>
  <si>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</si>
  <si>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</si>
  <si>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</si>
  <si>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</si>
  <si>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</si>
  <si>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</si>
  <si>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</si>
  <si>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</si>
  <si>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</si>
  <si>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</si>
  <si>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</si>
  <si>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</si>
  <si>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</si>
  <si>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начальник ФУ АБГО СК</t>
  </si>
  <si>
    <t>откл.+- недели Т/П</t>
  </si>
  <si>
    <t>в т.ч. 601 Администрация БГО СК</t>
  </si>
  <si>
    <t>ФАКТ за 2020 г</t>
  </si>
  <si>
    <t>10501000 Налог, взимаемый в связи с применением упрощенной системы налогообложения</t>
  </si>
  <si>
    <t>11715000 Инициативные платежи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</si>
  <si>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</si>
  <si>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</si>
  <si>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</si>
  <si>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</si>
  <si>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откл.+- от уточненного плана 2022 г</t>
  </si>
  <si>
    <t>План по доходам с учетом изменений на 2021 г</t>
  </si>
  <si>
    <r>
      <t xml:space="preserve">Исполнено по 23.06.2020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</si>
  <si>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t>откл.+- от исполнения на 23.06.2020 г (в сопостав.усл. 2022 г)</t>
  </si>
  <si>
    <t xml:space="preserve">Исполнено по 23.06.2020 год </t>
  </si>
  <si>
    <t>исполнение за неделю</t>
  </si>
  <si>
    <t>10900000 ЗАДОЛЖЕННОСТЬ И ПЕРЕРАСЧЕТЫ ПО ОТМЕНЕННЫМ НАЛОГАМ, СБОРАМ И ИНЫМ ОБЯЗАТЕЛЬНЫМ ПЛАТЕЖАМ</t>
  </si>
  <si>
    <t>(рублей)</t>
  </si>
  <si>
    <t>11301000 Доходы от оказания платных услуг (работ), в т.ч.:</t>
  </si>
  <si>
    <t xml:space="preserve"> НАЛОГОВЫЕ И
 НЕНАЛОГОВЫЕ ДОХОДЫ БЕЗ ПЛАТНЫХ УСЛУГ  И КОМПЕНСАЦИИ ЗАТРАТ ГОСУДАРСТВА И БЕЗ ИНИЦИАТИВНЫХ ПЛАТЕЖЕЙ</t>
  </si>
  <si>
    <t>20800000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</t>
  </si>
  <si>
    <t>ФАКТ за 2021 г (в сопоставимых условиях 2022 года)     (30,57%)</t>
  </si>
  <si>
    <r>
      <t>Исполнено по 31.12.2021 год (в сопоставимых условиях 2022 года)</t>
    </r>
    <r>
      <rPr>
        <b/>
        <sz val="14"/>
        <rFont val="Times New Roman"/>
        <family val="1"/>
        <charset val="204"/>
      </rPr>
      <t xml:space="preserve">     (30,57%)</t>
    </r>
  </si>
  <si>
    <t>Исполнено по 31.12.2021 год</t>
  </si>
  <si>
    <t>План по доходам на 2023 г (первоначальный)</t>
  </si>
  <si>
    <t>откл.+- от первоначального годового плана 2023 г</t>
  </si>
  <si>
    <t>НАЛОГОВЫЕ ДОХОДЫ, в т.ч.:</t>
  </si>
  <si>
    <t>НЕНАЛОГОВЫЕ ДОХОДЫ, в т.ч.: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</si>
  <si>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участков, в т.ч.:</t>
  </si>
  <si>
    <r>
      <rPr>
        <b/>
        <sz val="14"/>
        <rFont val="Times New Roman"/>
        <family val="1"/>
        <charset val="204"/>
      </rPr>
      <t>011</t>
    </r>
    <r>
      <rPr>
        <sz val="14"/>
        <rFont val="Times New Roman"/>
        <family val="1"/>
        <charset val="204"/>
      </rPr>
      <t xml:space="preserve"> Министерство имущественных отношений Ставропольского края</t>
    </r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</si>
  <si>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учреждений, в т.ч.: </t>
  </si>
  <si>
    <t>=</t>
  </si>
  <si>
    <t>откл за отч период к  плану года</t>
  </si>
  <si>
    <t>начальник ФУ АБМО СК</t>
  </si>
  <si>
    <t>11109000 Прочие доходы от использования имущества и прав, находящихся в государственной и муниципальной собственности, в т.ч.:</t>
  </si>
  <si>
    <t>11701000 Невыясненные поступления</t>
  </si>
  <si>
    <r>
      <t xml:space="preserve">11705000 Прочие неналоговые доходы </t>
    </r>
    <r>
      <rPr>
        <b/>
        <sz val="14"/>
        <rFont val="Times New Roman"/>
        <family val="1"/>
        <charset val="204"/>
      </rPr>
      <t>(торговые места)</t>
    </r>
  </si>
  <si>
    <t xml:space="preserve">Исполнено с 01.11.2022 по 30.11.2022 год по налоговым доходам
</t>
  </si>
  <si>
    <t>ФАКТ за 2023 г</t>
  </si>
  <si>
    <t>План по доходам с учетом изменений на 2023 г</t>
  </si>
  <si>
    <r>
      <t xml:space="preserve">ФАКТ за 2023 г (в сопоставимых условиях 2024 года)    </t>
    </r>
    <r>
      <rPr>
        <b/>
        <sz val="14"/>
        <rFont val="Times New Roman"/>
        <family val="1"/>
        <charset val="204"/>
      </rPr>
      <t xml:space="preserve"> (31,84%)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</si>
  <si>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АГЗиИО АБГО СК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</si>
  <si>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</t>
    </r>
  </si>
  <si>
    <r>
      <t xml:space="preserve">701 </t>
    </r>
    <r>
      <rPr>
        <sz val="14"/>
        <rFont val="Times New Roman"/>
        <family val="1"/>
        <charset val="204"/>
      </rPr>
      <t xml:space="preserve"> АБГО СК (размещение и эксплуатация нестационарного торгового объекта, 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</si>
  <si>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(прочие поступления от использования имущ-ва, находящегося в собственности ГО)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</si>
  <si>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</si>
  <si>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744</t>
    </r>
    <r>
      <rPr>
        <sz val="14"/>
        <rFont val="Times New Roman"/>
        <family val="1"/>
        <charset val="204"/>
      </rPr>
      <t xml:space="preserve"> Управление по ДТ АБГО СК (прочие поступления от использования имущ-ва, находящегося в собственности ГО)</t>
    </r>
  </si>
  <si>
    <t>701 1 13 01994 14 2000 130</t>
  </si>
  <si>
    <t>706 1 13 01994 14 2000 130</t>
  </si>
  <si>
    <t>707 1 13 01994 14 2000 130</t>
  </si>
  <si>
    <t>711 1 13 01994 14 2000 130</t>
  </si>
  <si>
    <t>744 1 13 01994 14 2000 130</t>
  </si>
  <si>
    <t>откл.+- от уточненного годового плана 2024 г</t>
  </si>
  <si>
    <t>План по доходам на 2024 г (уточненный)</t>
  </si>
  <si>
    <t>откл.+- от плана за 1 месяц 2024 года</t>
  </si>
  <si>
    <t>Исполнено с 01.01.2023 по 25.01.2023 год</t>
  </si>
  <si>
    <r>
      <t>Исполнено с 01.01.2023 года по 25.01.2023 год (в сопоставимых условиях 2024 года)</t>
    </r>
    <r>
      <rPr>
        <b/>
        <sz val="14"/>
        <rFont val="Times New Roman"/>
        <family val="1"/>
        <charset val="204"/>
      </rPr>
      <t xml:space="preserve">     (31,84%)</t>
    </r>
  </si>
  <si>
    <t>с 16.01.2024 по 18.01.2024 (неделя) П</t>
  </si>
  <si>
    <t>с 19.01.2024 по 25.01.2024 (неделя) Т</t>
  </si>
  <si>
    <t>Исполнение с 01.01.2024 по 18.01.2024
(53,08%)</t>
  </si>
  <si>
    <r>
      <t xml:space="preserve">Исполнение с 01.01.2024 по 25.01.2024
</t>
    </r>
    <r>
      <rPr>
        <b/>
        <sz val="14"/>
        <rFont val="Times New Roman"/>
        <family val="1"/>
        <charset val="204"/>
      </rPr>
      <t>(53,08%)</t>
    </r>
  </si>
  <si>
    <t>откл.+- от исполнения на 25.01.2023 г  (в сопоставимых условиях 2024 года)</t>
  </si>
  <si>
    <t>Исполнение бюджета Благодарненского муниципального округа Ставропольского края по доходам по состоянию на 25.01.2024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</si>
</sst>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#,##0.00_ ;[Red]\-#,##0.00\ 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0"/>
      <name val="Arial"/>
      <family val="2"/>
      <charset val="204"/>
    </font>
    <font>
      <b/>
      <sz val="14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6" fillId="0" borderId="0"/>
  </cellStyleXfs>
  <cellXfs count="140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1" fillId="0" borderId="0" xfId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centerContinuous" vertical="center"/>
      <protection hidden="1"/>
    </xf>
    <xf numFmtId="0" fontId="4" fillId="0" borderId="1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1" xfId="1" applyFont="1" applyBorder="1" applyAlignment="1" applyProtection="1">
      <alignment horizontal="center"/>
      <protection hidden="1"/>
    </xf>
    <xf numFmtId="164" fontId="3" fillId="0" borderId="1" xfId="1" applyNumberFormat="1" applyFont="1" applyBorder="1" applyAlignment="1" applyProtection="1">
      <alignment horizontal="right"/>
      <protection hidden="1"/>
    </xf>
    <xf numFmtId="164" fontId="4" fillId="0" borderId="1" xfId="1" applyNumberFormat="1" applyFont="1" applyBorder="1" applyAlignment="1" applyProtection="1">
      <alignment horizontal="right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Border="1" applyAlignment="1" applyProtection="1">
      <alignment horizontal="right"/>
      <protection hidden="1"/>
    </xf>
    <xf numFmtId="0" fontId="4" fillId="3" borderId="0" xfId="1" applyFont="1" applyFill="1" applyProtection="1">
      <protection hidden="1"/>
    </xf>
    <xf numFmtId="0" fontId="4" fillId="3" borderId="1" xfId="1" applyFont="1" applyFill="1" applyBorder="1" applyAlignment="1" applyProtection="1">
      <alignment horizontal="left" wrapText="1"/>
      <protection hidden="1"/>
    </xf>
    <xf numFmtId="0" fontId="4" fillId="3" borderId="1" xfId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164" fontId="3" fillId="0" borderId="0" xfId="1" applyNumberFormat="1" applyFont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 wrapText="1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left" wrapText="1"/>
      <protection hidden="1"/>
    </xf>
    <xf numFmtId="164" fontId="3" fillId="0" borderId="2" xfId="1" applyNumberFormat="1" applyFont="1" applyBorder="1" applyAlignment="1" applyProtection="1">
      <alignment horizontal="right"/>
      <protection hidden="1"/>
    </xf>
    <xf numFmtId="164" fontId="3" fillId="7" borderId="2" xfId="1" applyNumberFormat="1" applyFont="1" applyFill="1" applyBorder="1" applyAlignment="1" applyProtection="1">
      <alignment horizontal="right"/>
      <protection hidden="1"/>
    </xf>
    <xf numFmtId="164" fontId="3" fillId="0" borderId="3" xfId="1" applyNumberFormat="1" applyFont="1" applyBorder="1" applyAlignment="1" applyProtection="1">
      <alignment horizontal="right"/>
      <protection hidden="1"/>
    </xf>
    <xf numFmtId="164" fontId="3" fillId="5" borderId="3" xfId="1" applyNumberFormat="1" applyFont="1" applyFill="1" applyBorder="1" applyAlignment="1" applyProtection="1">
      <alignment horizontal="right"/>
      <protection hidden="1"/>
    </xf>
    <xf numFmtId="164" fontId="3" fillId="7" borderId="3" xfId="1" applyNumberFormat="1" applyFont="1" applyFill="1" applyBorder="1" applyAlignment="1" applyProtection="1">
      <alignment horizontal="right"/>
      <protection hidden="1"/>
    </xf>
    <xf numFmtId="164" fontId="3" fillId="7" borderId="0" xfId="1" applyNumberFormat="1" applyFont="1" applyFill="1" applyAlignment="1" applyProtection="1">
      <alignment horizontal="right"/>
      <protection hidden="1"/>
    </xf>
    <xf numFmtId="0" fontId="3" fillId="4" borderId="1" xfId="1" applyFont="1" applyFill="1" applyBorder="1" applyAlignment="1" applyProtection="1">
      <alignment wrapText="1"/>
      <protection hidden="1"/>
    </xf>
    <xf numFmtId="164" fontId="3" fillId="4" borderId="1" xfId="1" applyNumberFormat="1" applyFont="1" applyFill="1" applyBorder="1" applyAlignment="1" applyProtection="1">
      <alignment horizontal="right"/>
      <protection hidden="1"/>
    </xf>
    <xf numFmtId="165" fontId="3" fillId="4" borderId="1" xfId="1" applyNumberFormat="1" applyFont="1" applyFill="1" applyBorder="1" applyAlignment="1" applyProtection="1">
      <alignment wrapText="1"/>
      <protection hidden="1"/>
    </xf>
    <xf numFmtId="164" fontId="4" fillId="10" borderId="1" xfId="1" applyNumberFormat="1" applyFont="1" applyFill="1" applyBorder="1" applyAlignment="1" applyProtection="1">
      <alignment horizontal="right"/>
      <protection hidden="1"/>
    </xf>
    <xf numFmtId="164" fontId="3" fillId="0" borderId="10" xfId="1" applyNumberFormat="1" applyFont="1" applyBorder="1" applyAlignment="1" applyProtection="1">
      <alignment horizontal="right"/>
      <protection hidden="1"/>
    </xf>
    <xf numFmtId="164" fontId="3" fillId="5" borderId="7" xfId="1" applyNumberFormat="1" applyFont="1" applyFill="1" applyBorder="1" applyAlignment="1" applyProtection="1">
      <alignment horizontal="right"/>
      <protection hidden="1"/>
    </xf>
    <xf numFmtId="0" fontId="4" fillId="2" borderId="1" xfId="1" applyFont="1" applyFill="1" applyBorder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4" borderId="1" xfId="1" applyFont="1" applyFill="1" applyBorder="1" applyAlignment="1" applyProtection="1">
      <alignment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164" fontId="3" fillId="0" borderId="1" xfId="1" applyNumberFormat="1" applyFont="1" applyBorder="1" applyAlignment="1" applyProtection="1">
      <alignment horizontal="right" vertical="top"/>
      <protection hidden="1"/>
    </xf>
    <xf numFmtId="0" fontId="3" fillId="0" borderId="6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/>
      <protection hidden="1"/>
    </xf>
    <xf numFmtId="164" fontId="3" fillId="10" borderId="2" xfId="1" applyNumberFormat="1" applyFont="1" applyFill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right"/>
      <protection hidden="1"/>
    </xf>
    <xf numFmtId="0" fontId="3" fillId="0" borderId="7" xfId="8" applyFont="1" applyBorder="1" applyAlignment="1" applyProtection="1">
      <alignment horizontal="left" vertical="top" wrapText="1"/>
      <protection hidden="1"/>
    </xf>
    <xf numFmtId="0" fontId="3" fillId="11" borderId="3" xfId="1" applyFont="1" applyFill="1" applyBorder="1" applyAlignment="1" applyProtection="1">
      <alignment vertical="top" wrapText="1"/>
      <protection hidden="1"/>
    </xf>
    <xf numFmtId="0" fontId="3" fillId="11" borderId="3" xfId="1" applyFont="1" applyFill="1" applyBorder="1" applyAlignment="1" applyProtection="1">
      <alignment wrapText="1"/>
      <protection hidden="1"/>
    </xf>
    <xf numFmtId="165" fontId="3" fillId="11" borderId="3" xfId="1" applyNumberFormat="1" applyFont="1" applyFill="1" applyBorder="1" applyAlignment="1" applyProtection="1">
      <alignment wrapText="1"/>
      <protection hidden="1"/>
    </xf>
    <xf numFmtId="164" fontId="3" fillId="11" borderId="1" xfId="1" applyNumberFormat="1" applyFont="1" applyFill="1" applyBorder="1" applyAlignment="1" applyProtection="1">
      <alignment horizontal="right"/>
      <protection hidden="1"/>
    </xf>
    <xf numFmtId="164" fontId="3" fillId="11" borderId="2" xfId="1" applyNumberFormat="1" applyFont="1" applyFill="1" applyBorder="1" applyAlignment="1" applyProtection="1">
      <alignment horizontal="right"/>
      <protection hidden="1"/>
    </xf>
    <xf numFmtId="164" fontId="3" fillId="11" borderId="3" xfId="1" applyNumberFormat="1" applyFont="1" applyFill="1" applyBorder="1" applyAlignment="1" applyProtection="1">
      <alignment horizontal="right"/>
      <protection hidden="1"/>
    </xf>
    <xf numFmtId="0" fontId="3" fillId="11" borderId="7" xfId="8" applyFont="1" applyFill="1" applyBorder="1" applyAlignment="1" applyProtection="1">
      <alignment horizontal="left" vertical="top" wrapText="1"/>
      <protection hidden="1"/>
    </xf>
    <xf numFmtId="0" fontId="3" fillId="11" borderId="10" xfId="8" applyFont="1" applyFill="1" applyBorder="1" applyAlignment="1" applyProtection="1">
      <alignment horizontal="left" vertical="top" wrapText="1"/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5" fillId="0" borderId="0" xfId="1" applyFont="1"/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4" fontId="21" fillId="0" borderId="5" xfId="1" applyNumberFormat="1" applyFont="1" applyBorder="1" applyAlignment="1" applyProtection="1">
      <alignment vertical="center"/>
      <protection hidden="1"/>
    </xf>
    <xf numFmtId="165" fontId="21" fillId="0" borderId="5" xfId="1" applyNumberFormat="1" applyFont="1" applyBorder="1" applyAlignment="1" applyProtection="1">
      <alignment vertical="center"/>
      <protection hidden="1"/>
    </xf>
    <xf numFmtId="0" fontId="21" fillId="0" borderId="5" xfId="1" applyFont="1" applyBorder="1" applyAlignment="1" applyProtection="1">
      <alignment vertical="center"/>
      <protection hidden="1"/>
    </xf>
    <xf numFmtId="0" fontId="21" fillId="0" borderId="0" xfId="1" applyFont="1" applyProtection="1"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3" fillId="2" borderId="1" xfId="1" applyFont="1" applyFill="1" applyBorder="1" applyAlignment="1" applyProtection="1">
      <alignment horizontal="left" vertical="top" wrapText="1"/>
      <protection hidden="1"/>
    </xf>
    <xf numFmtId="164" fontId="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/>
    <xf numFmtId="4" fontId="5" fillId="0" borderId="0" xfId="1" applyNumberFormat="1" applyFont="1"/>
    <xf numFmtId="164" fontId="22" fillId="0" borderId="0" xfId="1" applyNumberFormat="1" applyFont="1" applyAlignment="1" applyProtection="1">
      <alignment horizontal="right"/>
      <protection hidden="1"/>
    </xf>
    <xf numFmtId="164" fontId="5" fillId="3" borderId="0" xfId="1" applyNumberFormat="1" applyFont="1" applyFill="1" applyAlignment="1" applyProtection="1">
      <alignment horizontal="right"/>
      <protection hidden="1"/>
    </xf>
    <xf numFmtId="4" fontId="5" fillId="0" borderId="0" xfId="1" applyNumberFormat="1" applyFont="1" applyProtection="1">
      <protection hidden="1"/>
    </xf>
    <xf numFmtId="164" fontId="21" fillId="0" borderId="0" xfId="1" applyNumberFormat="1" applyFont="1" applyAlignment="1" applyProtection="1">
      <alignment horizontal="right"/>
      <protection hidden="1"/>
    </xf>
    <xf numFmtId="165" fontId="21" fillId="0" borderId="0" xfId="1" applyNumberFormat="1" applyFont="1"/>
    <xf numFmtId="0" fontId="21" fillId="0" borderId="0" xfId="1" applyFont="1"/>
    <xf numFmtId="4" fontId="21" fillId="3" borderId="5" xfId="1" applyNumberFormat="1" applyFont="1" applyFill="1" applyBorder="1" applyAlignment="1" applyProtection="1">
      <alignment vertical="center"/>
      <protection hidden="1"/>
    </xf>
    <xf numFmtId="164" fontId="21" fillId="0" borderId="4" xfId="1" applyNumberFormat="1" applyFont="1" applyBorder="1" applyAlignment="1" applyProtection="1">
      <alignment horizontal="right"/>
      <protection hidden="1"/>
    </xf>
    <xf numFmtId="164" fontId="24" fillId="0" borderId="4" xfId="1" applyNumberFormat="1" applyFont="1" applyBorder="1" applyAlignment="1" applyProtection="1">
      <alignment horizontal="right"/>
      <protection hidden="1"/>
    </xf>
    <xf numFmtId="164" fontId="24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 applyProtection="1">
      <protection hidden="1"/>
    </xf>
    <xf numFmtId="165" fontId="7" fillId="0" borderId="0" xfId="1" applyNumberFormat="1" applyFont="1"/>
    <xf numFmtId="164" fontId="4" fillId="7" borderId="2" xfId="1" applyNumberFormat="1" applyFont="1" applyFill="1" applyBorder="1" applyAlignment="1" applyProtection="1">
      <alignment horizontal="right"/>
      <protection hidden="1"/>
    </xf>
    <xf numFmtId="4" fontId="4" fillId="0" borderId="5" xfId="1" applyNumberFormat="1" applyFont="1" applyBorder="1" applyAlignment="1" applyProtection="1">
      <alignment vertical="center"/>
      <protection hidden="1"/>
    </xf>
    <xf numFmtId="4" fontId="21" fillId="9" borderId="5" xfId="1" applyNumberFormat="1" applyFont="1" applyFill="1" applyBorder="1" applyAlignment="1" applyProtection="1">
      <alignment vertical="center"/>
      <protection hidden="1"/>
    </xf>
    <xf numFmtId="4" fontId="4" fillId="9" borderId="5" xfId="1" applyNumberFormat="1" applyFont="1" applyFill="1" applyBorder="1" applyAlignment="1" applyProtection="1">
      <alignment vertical="center"/>
      <protection hidden="1"/>
    </xf>
    <xf numFmtId="164" fontId="25" fillId="0" borderId="0" xfId="1" applyNumberFormat="1" applyFont="1" applyAlignment="1" applyProtection="1">
      <alignment horizontal="right" vertical="center"/>
      <protection hidden="1"/>
    </xf>
    <xf numFmtId="4" fontId="21" fillId="0" borderId="0" xfId="1" applyNumberFormat="1" applyFont="1"/>
    <xf numFmtId="164" fontId="23" fillId="0" borderId="0" xfId="1" applyNumberFormat="1" applyFont="1" applyAlignment="1" applyProtection="1">
      <alignment horizontal="right" vertical="center"/>
      <protection hidden="1"/>
    </xf>
    <xf numFmtId="4" fontId="7" fillId="0" borderId="0" xfId="1" applyNumberFormat="1" applyFont="1"/>
    <xf numFmtId="0" fontId="3" fillId="3" borderId="1" xfId="1" applyFont="1" applyFill="1" applyBorder="1" applyAlignment="1" applyProtection="1">
      <alignment horizontal="left" vertical="top" wrapText="1"/>
      <protection hidden="1"/>
    </xf>
    <xf numFmtId="164" fontId="4" fillId="2" borderId="1" xfId="1" applyNumberFormat="1" applyFont="1" applyFill="1" applyBorder="1" applyAlignment="1" applyProtection="1">
      <alignment horizontal="right"/>
      <protection hidden="1"/>
    </xf>
    <xf numFmtId="164" fontId="4" fillId="3" borderId="2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vertical="center"/>
      <protection hidden="1"/>
    </xf>
    <xf numFmtId="4" fontId="5" fillId="0" borderId="0" xfId="1" applyNumberFormat="1" applyFont="1" applyAlignment="1">
      <alignment horizontal="center"/>
    </xf>
    <xf numFmtId="0" fontId="4" fillId="0" borderId="1" xfId="1" applyFont="1" applyBorder="1" applyAlignment="1" applyProtection="1">
      <alignment horizontal="left"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3" fillId="0" borderId="9" xfId="8" applyFont="1" applyBorder="1" applyAlignment="1" applyProtection="1">
      <alignment horizontal="left" vertical="top" wrapText="1"/>
      <protection hidden="1"/>
    </xf>
    <xf numFmtId="0" fontId="3" fillId="0" borderId="8" xfId="8" applyFont="1" applyBorder="1" applyAlignment="1" applyProtection="1">
      <alignment horizontal="left" vertical="top" wrapText="1"/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left" vertical="top" wrapText="1"/>
      <protection hidden="1"/>
    </xf>
    <xf numFmtId="0" fontId="3" fillId="0" borderId="3" xfId="1" applyFont="1" applyBorder="1" applyAlignment="1" applyProtection="1">
      <alignment horizontal="left" vertical="top" wrapText="1"/>
      <protection hidden="1"/>
    </xf>
    <xf numFmtId="0" fontId="4" fillId="12" borderId="1" xfId="1" applyFont="1" applyFill="1" applyBorder="1" applyAlignment="1" applyProtection="1">
      <alignment horizontal="center" vertical="center" wrapText="1"/>
      <protection hidden="1"/>
    </xf>
    <xf numFmtId="0" fontId="4" fillId="3" borderId="11" xfId="1" applyFont="1" applyFill="1" applyBorder="1" applyAlignment="1" applyProtection="1">
      <alignment horizontal="center" vertical="center" wrapText="1"/>
      <protection hidden="1"/>
    </xf>
    <xf numFmtId="0" fontId="4" fillId="3" borderId="12" xfId="1" applyFont="1" applyFill="1" applyBorder="1" applyAlignment="1" applyProtection="1">
      <alignment horizontal="center" vertical="center" wrapText="1"/>
      <protection hidden="1"/>
    </xf>
    <xf numFmtId="0" fontId="4" fillId="3" borderId="13" xfId="1" applyFont="1" applyFill="1" applyBorder="1" applyAlignment="1" applyProtection="1">
      <alignment horizontal="center" vertical="center" wrapText="1"/>
      <protection hidden="1"/>
    </xf>
    <xf numFmtId="0" fontId="4" fillId="3" borderId="14" xfId="1" applyFont="1" applyFill="1" applyBorder="1" applyAlignment="1" applyProtection="1">
      <alignment horizontal="center" vertical="center" wrapText="1"/>
      <protection hidden="1"/>
    </xf>
    <xf numFmtId="0" fontId="27" fillId="0" borderId="0" xfId="1" applyFont="1" applyAlignment="1" applyProtection="1">
      <alignment horizontal="center" vertical="center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 applyProtection="1">
      <alignment horizontal="center" vertical="center" wrapText="1"/>
      <protection hidden="1"/>
    </xf>
    <xf numFmtId="0" fontId="4" fillId="9" borderId="2" xfId="1" applyFont="1" applyFill="1" applyBorder="1" applyAlignment="1" applyProtection="1">
      <alignment horizontal="center" vertical="center" wrapText="1"/>
      <protection hidden="1"/>
    </xf>
    <xf numFmtId="0" fontId="4" fillId="9" borderId="3" xfId="1" applyFont="1" applyFill="1" applyBorder="1" applyAlignment="1" applyProtection="1">
      <alignment horizontal="center" vertical="center" wrapText="1"/>
      <protection hidden="1"/>
    </xf>
    <xf numFmtId="0" fontId="4" fillId="6" borderId="1" xfId="1" applyFont="1" applyFill="1" applyBorder="1" applyAlignment="1" applyProtection="1">
      <alignment horizontal="center" vertical="center" wrapText="1"/>
      <protection hidden="1"/>
    </xf>
    <xf numFmtId="0" fontId="4" fillId="7" borderId="2" xfId="1" applyFont="1" applyFill="1" applyBorder="1" applyAlignment="1" applyProtection="1">
      <alignment horizontal="center" vertical="center" wrapText="1"/>
      <protection hidden="1"/>
    </xf>
    <xf numFmtId="0" fontId="4" fillId="7" borderId="3" xfId="1" applyFont="1" applyFill="1" applyBorder="1" applyAlignment="1" applyProtection="1">
      <alignment horizontal="center" vertical="center" wrapText="1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</cellXfs>
  <cellStyles count="26">
    <cellStyle name="Обычный" xfId="0" builtinId="0"/>
    <cellStyle name="Обычный 10" xfId="18" xr:uid="{00000000-0005-0000-0000-000001000000}"/>
    <cellStyle name="Обычный 11" xfId="19" xr:uid="{FF01E298-DDF2-45F0-A58D-2B2BA2C7382D}"/>
    <cellStyle name="Обычный 12" xfId="20" xr:uid="{7544DBE9-3A9D-4461-BF3B-D6525F1ED9B6}"/>
    <cellStyle name="Обычный 13" xfId="21" xr:uid="{E985F616-0B06-4B47-96C0-7C0180EDC9F7}"/>
    <cellStyle name="Обычный 14" xfId="22" xr:uid="{16E98CD3-AB87-46C3-9E53-BC0BF6EA8E0B}"/>
    <cellStyle name="Обычный 15" xfId="23" xr:uid="{4A2FA87A-67A2-40B5-9499-53805A0CD1B3}"/>
    <cellStyle name="Обычный 16" xfId="24" xr:uid="{5EBF9CB1-7A00-4C90-A1EB-4A0D2A2CFF3B}"/>
    <cellStyle name="Обычный 17" xfId="25" xr:uid="{BBF2FCED-0F85-4237-9C36-A69E320826BC}"/>
    <cellStyle name="Обычный 2" xfId="1" xr:uid="{00000000-0005-0000-0000-000002000000}"/>
    <cellStyle name="Обычный 2 2" xfId="3" xr:uid="{00000000-0005-0000-0000-000003000000}"/>
    <cellStyle name="Обычный 2 2 2" xfId="11" xr:uid="{00000000-0005-0000-0000-000004000000}"/>
    <cellStyle name="Обычный 3" xfId="2" xr:uid="{00000000-0005-0000-0000-000005000000}"/>
    <cellStyle name="Обычный 3 2" xfId="10" xr:uid="{00000000-0005-0000-0000-000006000000}"/>
    <cellStyle name="Обычный 4" xfId="4" xr:uid="{00000000-0005-0000-0000-000007000000}"/>
    <cellStyle name="Обычный 4 2" xfId="12" xr:uid="{00000000-0005-0000-0000-000008000000}"/>
    <cellStyle name="Обычный 5" xfId="5" xr:uid="{00000000-0005-0000-0000-000009000000}"/>
    <cellStyle name="Обычный 5 2" xfId="13" xr:uid="{00000000-0005-0000-0000-00000A000000}"/>
    <cellStyle name="Обычный 6" xfId="6" xr:uid="{00000000-0005-0000-0000-00000B000000}"/>
    <cellStyle name="Обычный 6 2" xfId="14" xr:uid="{00000000-0005-0000-0000-00000C000000}"/>
    <cellStyle name="Обычный 7" xfId="7" xr:uid="{00000000-0005-0000-0000-00000D000000}"/>
    <cellStyle name="Обычный 7 2" xfId="15" xr:uid="{00000000-0005-0000-0000-00000E000000}"/>
    <cellStyle name="Обычный 8" xfId="8" xr:uid="{00000000-0005-0000-0000-00000F000000}"/>
    <cellStyle name="Обычный 8 2" xfId="16" xr:uid="{00000000-0005-0000-0000-000010000000}"/>
    <cellStyle name="Обычный 9" xfId="9" xr:uid="{00000000-0005-0000-0000-000011000000}"/>
    <cellStyle name="Обычный 9 2" xfId="17" xr:uid="{00000000-0005-0000-0000-00001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491F-5356-49CD-B0B8-75F206B5CBD8}">
  <dimension ref="A1:AU76"/>
  <sheetViews>
    <sheetView showGridLines="0" tabSelected="1" view="pageBreakPreview" zoomScale="66" zoomScaleNormal="68" zoomScaleSheetLayoutView="66" workbookViewId="0">
      <pane xSplit="20" ySplit="5" topLeftCell="U6" activePane="bottomRight" state="frozen"/>
      <selection pane="topRight" activeCell="U1" sqref="U1"/>
      <selection pane="bottomLeft" activeCell="A6" sqref="A6"/>
      <selection pane="bottomRight" activeCell="AA60" sqref="AA60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19" style="1" hidden="1" customWidth="1"/>
    <col min="18" max="18" width="20.85546875" style="1" hidden="1" customWidth="1"/>
    <col min="19" max="19" width="24.7109375" style="1" hidden="1" customWidth="1"/>
    <col min="20" max="20" width="23.7109375" style="1" hidden="1" customWidth="1"/>
    <col min="21" max="21" width="26.140625" style="1" customWidth="1"/>
    <col min="22" max="22" width="24.42578125" style="1" hidden="1" customWidth="1"/>
    <col min="23" max="23" width="23.140625" style="1" hidden="1" customWidth="1"/>
    <col min="24" max="24" width="21.42578125" style="1" hidden="1" customWidth="1"/>
    <col min="25" max="25" width="24.140625" style="1" customWidth="1"/>
    <col min="26" max="26" width="15.28515625" style="1" hidden="1" customWidth="1"/>
    <col min="27" max="27" width="24.140625" style="1" customWidth="1"/>
    <col min="28" max="28" width="23.7109375" style="1" hidden="1" customWidth="1"/>
    <col min="29" max="29" width="22.140625" style="1" hidden="1" customWidth="1"/>
    <col min="30" max="30" width="21.5703125" style="1" hidden="1" customWidth="1"/>
    <col min="31" max="31" width="28" style="1" hidden="1" customWidth="1"/>
    <col min="32" max="32" width="26.28515625" style="1" customWidth="1"/>
    <col min="33" max="33" width="21.42578125" style="1" hidden="1" customWidth="1"/>
    <col min="34" max="34" width="12.42578125" style="1" hidden="1" customWidth="1"/>
    <col min="35" max="35" width="17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140625" style="1" hidden="1" customWidth="1"/>
    <col min="41" max="41" width="13" style="1" hidden="1" customWidth="1"/>
    <col min="42" max="42" width="20.7109375" style="1" customWidth="1"/>
    <col min="43" max="43" width="12.5703125" style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2.42578125" style="1" customWidth="1"/>
    <col min="48" max="250" width="9.140625" style="1" customWidth="1"/>
    <col min="251" max="16384" width="9.140625" style="1"/>
  </cols>
  <sheetData>
    <row r="1" spans="1:46" ht="28.5" customHeight="1" x14ac:dyDescent="0.2">
      <c r="A1" s="3"/>
      <c r="B1" s="2"/>
      <c r="C1" s="2"/>
      <c r="D1" s="2"/>
      <c r="E1" s="2"/>
      <c r="F1" s="2"/>
      <c r="G1" s="2"/>
      <c r="H1" s="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2"/>
      <c r="AL1" s="2"/>
      <c r="AM1" s="2"/>
      <c r="AN1" s="2"/>
      <c r="AO1" s="2"/>
      <c r="AP1" s="2"/>
      <c r="AQ1" s="2"/>
      <c r="AR1" s="2"/>
    </row>
    <row r="2" spans="1:46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27" t="s">
        <v>104</v>
      </c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38"/>
      <c r="AP2" s="38"/>
      <c r="AQ2" s="38"/>
      <c r="AR2" s="7"/>
    </row>
    <row r="3" spans="1:46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5"/>
      <c r="R3" s="80"/>
      <c r="S3" s="103"/>
      <c r="T3" s="104">
        <f>V9/S9%</f>
        <v>-1.3470569698956527</v>
      </c>
      <c r="U3" s="102"/>
      <c r="V3" s="104">
        <f>V8/S8%</f>
        <v>-0.89281166061312567</v>
      </c>
      <c r="W3" s="104"/>
      <c r="X3" s="103"/>
      <c r="Y3" s="80"/>
      <c r="Z3" s="80">
        <f>U3-Y63</f>
        <v>-116810341.84590453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99"/>
      <c r="AK3" s="83"/>
      <c r="AL3" s="83"/>
      <c r="AM3" s="83"/>
      <c r="AN3" s="83"/>
      <c r="AO3" s="83"/>
      <c r="AP3" s="83"/>
      <c r="AQ3" s="77" t="s">
        <v>59</v>
      </c>
      <c r="AR3" s="76"/>
    </row>
    <row r="4" spans="1:46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39" t="s">
        <v>34</v>
      </c>
      <c r="J4" s="131" t="s">
        <v>45</v>
      </c>
      <c r="K4" s="131" t="s">
        <v>51</v>
      </c>
      <c r="L4" s="136" t="s">
        <v>56</v>
      </c>
      <c r="M4" s="131" t="s">
        <v>54</v>
      </c>
      <c r="N4" s="131" t="s">
        <v>53</v>
      </c>
      <c r="O4" s="136" t="s">
        <v>50</v>
      </c>
      <c r="P4" s="131" t="s">
        <v>63</v>
      </c>
      <c r="Q4" s="136" t="s">
        <v>65</v>
      </c>
      <c r="R4" s="131" t="s">
        <v>64</v>
      </c>
      <c r="S4" s="130" t="s">
        <v>81</v>
      </c>
      <c r="T4" s="136" t="s">
        <v>80</v>
      </c>
      <c r="U4" s="131" t="s">
        <v>82</v>
      </c>
      <c r="V4" s="136" t="s">
        <v>97</v>
      </c>
      <c r="W4" s="137" t="s">
        <v>74</v>
      </c>
      <c r="X4" s="122" t="s">
        <v>79</v>
      </c>
      <c r="Y4" s="131" t="s">
        <v>98</v>
      </c>
      <c r="Z4" s="132" t="s">
        <v>66</v>
      </c>
      <c r="AA4" s="123" t="s">
        <v>95</v>
      </c>
      <c r="AB4" s="124"/>
      <c r="AC4" s="119" t="s">
        <v>57</v>
      </c>
      <c r="AD4" s="119"/>
      <c r="AE4" s="134" t="s">
        <v>101</v>
      </c>
      <c r="AF4" s="131" t="s">
        <v>102</v>
      </c>
      <c r="AG4" s="128" t="s">
        <v>43</v>
      </c>
      <c r="AH4" s="130" t="s">
        <v>67</v>
      </c>
      <c r="AI4" s="130"/>
      <c r="AJ4" s="119" t="s">
        <v>94</v>
      </c>
      <c r="AK4" s="119"/>
      <c r="AL4" s="119" t="s">
        <v>52</v>
      </c>
      <c r="AM4" s="119"/>
      <c r="AN4" s="119" t="s">
        <v>96</v>
      </c>
      <c r="AO4" s="119"/>
      <c r="AP4" s="119" t="s">
        <v>103</v>
      </c>
      <c r="AQ4" s="119"/>
      <c r="AR4" s="119" t="s">
        <v>55</v>
      </c>
      <c r="AS4" s="119"/>
      <c r="AT4" s="33" t="s">
        <v>49</v>
      </c>
    </row>
    <row r="5" spans="1:46" s="5" customFormat="1" ht="63.75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39"/>
      <c r="J5" s="131"/>
      <c r="K5" s="131"/>
      <c r="L5" s="136"/>
      <c r="M5" s="131"/>
      <c r="N5" s="131"/>
      <c r="O5" s="136"/>
      <c r="P5" s="131"/>
      <c r="Q5" s="136"/>
      <c r="R5" s="131"/>
      <c r="S5" s="130"/>
      <c r="T5" s="136"/>
      <c r="U5" s="131"/>
      <c r="V5" s="136"/>
      <c r="W5" s="138"/>
      <c r="X5" s="122"/>
      <c r="Y5" s="131"/>
      <c r="Z5" s="133"/>
      <c r="AA5" s="125"/>
      <c r="AB5" s="126"/>
      <c r="AC5" s="79" t="s">
        <v>99</v>
      </c>
      <c r="AD5" s="79" t="s">
        <v>100</v>
      </c>
      <c r="AE5" s="135"/>
      <c r="AF5" s="131"/>
      <c r="AG5" s="129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6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30">
        <v>5</v>
      </c>
      <c r="AC6" s="30">
        <v>6</v>
      </c>
      <c r="AD6" s="30">
        <v>7</v>
      </c>
      <c r="AE6" s="30"/>
      <c r="AF6" s="30">
        <v>5</v>
      </c>
      <c r="AG6" s="30">
        <v>9</v>
      </c>
      <c r="AH6" s="30">
        <v>10</v>
      </c>
      <c r="AI6" s="30">
        <v>11</v>
      </c>
      <c r="AJ6" s="30">
        <v>6</v>
      </c>
      <c r="AK6" s="30">
        <v>7</v>
      </c>
      <c r="AL6" s="30">
        <v>9</v>
      </c>
      <c r="AM6" s="30">
        <v>10</v>
      </c>
      <c r="AN6" s="30">
        <v>12</v>
      </c>
      <c r="AO6" s="30">
        <v>13</v>
      </c>
      <c r="AP6" s="30">
        <v>8</v>
      </c>
      <c r="AQ6" s="30">
        <v>9</v>
      </c>
      <c r="AR6" s="30">
        <v>18</v>
      </c>
      <c r="AS6" s="30">
        <v>19</v>
      </c>
      <c r="AT6" s="32">
        <v>19</v>
      </c>
    </row>
    <row r="7" spans="1:46" s="10" customFormat="1" ht="40.5" customHeight="1" x14ac:dyDescent="0.3">
      <c r="A7" s="9"/>
      <c r="B7" s="120" t="s">
        <v>8</v>
      </c>
      <c r="C7" s="120"/>
      <c r="D7" s="120"/>
      <c r="E7" s="120"/>
      <c r="F7" s="120"/>
      <c r="G7" s="120"/>
      <c r="H7" s="120"/>
      <c r="I7" s="120"/>
      <c r="J7" s="44">
        <f t="shared" ref="J7:P7" si="0">J10+J11+J13+J14+J15+J16+J17+J20+J23+J36+J37+J45+J48+J50+J12</f>
        <v>360649780.94999993</v>
      </c>
      <c r="K7" s="44">
        <f t="shared" si="0"/>
        <v>345072092.21513432</v>
      </c>
      <c r="L7" s="44">
        <f t="shared" si="0"/>
        <v>126453042.85999998</v>
      </c>
      <c r="M7" s="44">
        <f t="shared" si="0"/>
        <v>118977570.92554319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381352957.17558712</v>
      </c>
      <c r="S7" s="44">
        <f t="shared" ref="S7:T7" si="1">S9+S22</f>
        <v>409836446.98000002</v>
      </c>
      <c r="T7" s="44">
        <f t="shared" si="1"/>
        <v>433603643.10000002</v>
      </c>
      <c r="U7" s="44">
        <f>U10+U11+U13+U14+U15+U16+U17+U20+U23+U36+U37+U45+U48+U50+U12+U21</f>
        <v>570370197.14584184</v>
      </c>
      <c r="V7" s="44">
        <f>V9+V22</f>
        <v>-526528.45000000019</v>
      </c>
      <c r="W7" s="44">
        <f>V7/S7%</f>
        <v>-0.12847282223918333</v>
      </c>
      <c r="X7" s="44">
        <f>X9+X22</f>
        <v>0</v>
      </c>
      <c r="Y7" s="44">
        <f>Y9+Y22</f>
        <v>-656189.24409547728</v>
      </c>
      <c r="Z7" s="44">
        <f t="shared" ref="Z7:AF7" si="2">Z9+Z22</f>
        <v>400415099.64999998</v>
      </c>
      <c r="AA7" s="44">
        <f t="shared" si="2"/>
        <v>577599454.96000004</v>
      </c>
      <c r="AB7" s="44">
        <f t="shared" si="2"/>
        <v>17984284.41</v>
      </c>
      <c r="AC7" s="44">
        <f t="shared" ref="AC7" si="3">AC9+AC22</f>
        <v>3197325.21</v>
      </c>
      <c r="AD7" s="44">
        <f t="shared" si="2"/>
        <v>3266339.0900000003</v>
      </c>
      <c r="AE7" s="44">
        <v>3467614.37</v>
      </c>
      <c r="AF7" s="44">
        <f t="shared" si="2"/>
        <v>6733953.4600000009</v>
      </c>
      <c r="AG7" s="44">
        <f>AD7-AC7</f>
        <v>69013.880000000354</v>
      </c>
      <c r="AH7" s="44">
        <f t="shared" ref="AH7:AH63" si="4">AF7-Z7</f>
        <v>-393681146.19</v>
      </c>
      <c r="AI7" s="44">
        <f t="shared" ref="AI7:AI28" si="5">AF7/Z7*100</f>
        <v>1.6817431375305534</v>
      </c>
      <c r="AJ7" s="44">
        <f>AF7-AA7</f>
        <v>-570865501.5</v>
      </c>
      <c r="AK7" s="44">
        <f>AF7/AA7%</f>
        <v>1.1658517684138641</v>
      </c>
      <c r="AL7" s="44" t="e">
        <f>AF7-#REF!</f>
        <v>#REF!</v>
      </c>
      <c r="AM7" s="44" t="e">
        <f>IF(#REF!=0,0,AF7/#REF!*100)</f>
        <v>#REF!</v>
      </c>
      <c r="AN7" s="44">
        <f>AF7-AB7</f>
        <v>-11250330.949999999</v>
      </c>
      <c r="AO7" s="44">
        <f>AF7/AB7*100</f>
        <v>37.443544077047889</v>
      </c>
      <c r="AP7" s="44">
        <f>AF7-Y7</f>
        <v>7390142.7040954782</v>
      </c>
      <c r="AQ7" s="44">
        <f>AF7/Y7%</f>
        <v>-1026.2212495241986</v>
      </c>
      <c r="AR7" s="44">
        <f>AF7-M7</f>
        <v>-112243617.46554318</v>
      </c>
      <c r="AS7" s="44">
        <f>IF(M7=0,0,AF7/M7*100)</f>
        <v>5.6598511867536327</v>
      </c>
      <c r="AT7" s="45" t="e">
        <f>AT10+AT11+AT13+AT14+AT15+AT16+AT17+AT20+AT23+AT36+AT37+AT45+AT48+AT50+AT12</f>
        <v>#REF!</v>
      </c>
    </row>
    <row r="8" spans="1:46" s="10" customFormat="1" ht="99" hidden="1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61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348068450.36558712</v>
      </c>
      <c r="S8" s="52">
        <f t="shared" ref="S8:T8" si="6">S7-S37-S53</f>
        <v>370081037.89000005</v>
      </c>
      <c r="T8" s="52">
        <f t="shared" si="6"/>
        <v>392540175.78000003</v>
      </c>
      <c r="U8" s="52">
        <f>U7-U37-U53+U44-31715.49-30845.55-10000-18222.76-1302-275200</f>
        <v>530697155.89584184</v>
      </c>
      <c r="V8" s="52">
        <f>V7-V37-V53</f>
        <v>-3304126.66</v>
      </c>
      <c r="W8" s="44">
        <f t="shared" ref="W8:W9" si="7">V8/S8%</f>
        <v>-0.89281166061312567</v>
      </c>
      <c r="X8" s="52">
        <f t="shared" ref="X8:AD8" si="8">X7-X37-X53</f>
        <v>0</v>
      </c>
      <c r="Y8" s="52">
        <f t="shared" si="8"/>
        <v>-3433787.4540954772</v>
      </c>
      <c r="Z8" s="52">
        <f t="shared" si="8"/>
        <v>372608810</v>
      </c>
      <c r="AA8" s="52">
        <f t="shared" si="8"/>
        <v>545150607.50999999</v>
      </c>
      <c r="AB8" s="52">
        <f t="shared" si="8"/>
        <v>16498119.390000001</v>
      </c>
      <c r="AC8" s="52">
        <f t="shared" ref="AC8" si="9">AC7-AC37-AC53</f>
        <v>3197324.21</v>
      </c>
      <c r="AD8" s="52">
        <f t="shared" si="8"/>
        <v>3049524.9200000004</v>
      </c>
      <c r="AE8" s="52">
        <v>3467613.37</v>
      </c>
      <c r="AF8" s="52">
        <f>AF7-AF37-AF53</f>
        <v>6517138.290000001</v>
      </c>
      <c r="AG8" s="51">
        <f t="shared" ref="AG8:AG63" si="10">AD8-AC8</f>
        <v>-147799.28999999957</v>
      </c>
      <c r="AH8" s="64">
        <f t="shared" si="4"/>
        <v>-366091671.70999998</v>
      </c>
      <c r="AI8" s="64">
        <f t="shared" si="5"/>
        <v>1.7490564138835045</v>
      </c>
      <c r="AJ8" s="51">
        <f t="shared" ref="AJ8:AJ62" si="11">AF8-AA8</f>
        <v>-538633469.22000003</v>
      </c>
      <c r="AK8" s="51">
        <f>AF8/AA8%</f>
        <v>1.1954748284638852</v>
      </c>
      <c r="AL8" s="51"/>
      <c r="AM8" s="51"/>
      <c r="AN8" s="64">
        <f t="shared" ref="AN8:AN63" si="12">AF8-AB8</f>
        <v>-9980981.0999999996</v>
      </c>
      <c r="AO8" s="64">
        <f t="shared" ref="AO8:AO63" si="13">AF8/AB8*100</f>
        <v>39.502310147847709</v>
      </c>
      <c r="AP8" s="51">
        <f t="shared" ref="AP8:AP63" si="14">AF8-Y8</f>
        <v>9950925.7440954782</v>
      </c>
      <c r="AQ8" s="51">
        <f>AF8/Y8%</f>
        <v>-189.79445807651877</v>
      </c>
      <c r="AR8" s="23"/>
      <c r="AS8" s="23"/>
      <c r="AT8" s="49"/>
    </row>
    <row r="9" spans="1:46" s="10" customFormat="1" ht="30" hidden="1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68</v>
      </c>
      <c r="J9" s="69"/>
      <c r="K9" s="69"/>
      <c r="L9" s="69"/>
      <c r="M9" s="69"/>
      <c r="N9" s="69"/>
      <c r="O9" s="70"/>
      <c r="P9" s="70"/>
      <c r="Q9" s="70"/>
      <c r="R9" s="70"/>
      <c r="S9" s="70">
        <f t="shared" ref="S9:T9" si="15">S10+S11+S12+S13+S14+S15+S16+S17+S20+S21</f>
        <v>323360088.5</v>
      </c>
      <c r="T9" s="70">
        <f t="shared" si="15"/>
        <v>339771027.17000008</v>
      </c>
      <c r="U9" s="70">
        <f t="shared" ref="U9:AA9" si="16">U10+U11+U12+U13+U14+U15+U16+U17+U20+U21</f>
        <v>478641130.07584172</v>
      </c>
      <c r="V9" s="70">
        <f t="shared" si="16"/>
        <v>-4355844.6100000003</v>
      </c>
      <c r="W9" s="44">
        <f t="shared" si="7"/>
        <v>-1.3470569698956527</v>
      </c>
      <c r="X9" s="70">
        <f t="shared" si="16"/>
        <v>0</v>
      </c>
      <c r="Y9" s="70">
        <f>Y10+Y11+Y12+Y13+Y14+Y15+Y16+Y17+Y20+Y21</f>
        <v>-4485505.4040954774</v>
      </c>
      <c r="Z9" s="70">
        <f t="shared" si="16"/>
        <v>323434900</v>
      </c>
      <c r="AA9" s="70">
        <f t="shared" si="16"/>
        <v>493890337.50999999</v>
      </c>
      <c r="AB9" s="70">
        <f>AB10+AB11+AB12+AB13+AB14+AB15+AB16+AB17+AB20+AB21</f>
        <v>16369953</v>
      </c>
      <c r="AC9" s="70">
        <f t="shared" ref="AC9" si="17">AC10+AC11+AC12+AC13+AC14+AC15+AC16+AC17+AC20+AC21</f>
        <v>3047532.76</v>
      </c>
      <c r="AD9" s="70">
        <f t="shared" ref="AD9" si="18">AD10+AD11+AD12+AD13+AD14+AD15+AD16+AD17+AD20+AD21</f>
        <v>2798163.24</v>
      </c>
      <c r="AE9" s="70">
        <v>3295020.92</v>
      </c>
      <c r="AF9" s="70">
        <f>AF10+AF11+AF12+AF13+AF14+AF15+AF16+AF17+AF20+AF21</f>
        <v>6093184.1600000011</v>
      </c>
      <c r="AG9" s="71">
        <f t="shared" si="10"/>
        <v>-249369.51999999955</v>
      </c>
      <c r="AH9" s="72"/>
      <c r="AI9" s="72"/>
      <c r="AJ9" s="71">
        <f t="shared" si="11"/>
        <v>-487797153.34999996</v>
      </c>
      <c r="AK9" s="71">
        <f>AF9/AA9%</f>
        <v>1.2337119593631714</v>
      </c>
      <c r="AL9" s="73"/>
      <c r="AM9" s="73"/>
      <c r="AN9" s="72">
        <f t="shared" si="12"/>
        <v>-10276768.84</v>
      </c>
      <c r="AO9" s="72">
        <f t="shared" si="13"/>
        <v>37.221757203579024</v>
      </c>
      <c r="AP9" s="71">
        <f t="shared" si="14"/>
        <v>10578689.564095479</v>
      </c>
      <c r="AQ9" s="71">
        <f>AF9/Y9%</f>
        <v>-135.8416412660352</v>
      </c>
      <c r="AR9" s="23"/>
      <c r="AS9" s="23"/>
      <c r="AT9" s="49"/>
    </row>
    <row r="10" spans="1:46" s="10" customFormat="1" ht="91.5" hidden="1" customHeight="1" x14ac:dyDescent="0.3">
      <c r="A10" s="9"/>
      <c r="B10" s="121" t="s">
        <v>26</v>
      </c>
      <c r="C10" s="121"/>
      <c r="D10" s="121"/>
      <c r="E10" s="121"/>
      <c r="F10" s="121"/>
      <c r="G10" s="121"/>
      <c r="H10" s="121"/>
      <c r="I10" s="121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195088492.18000001</v>
      </c>
      <c r="T10" s="46">
        <v>208174391.55000001</v>
      </c>
      <c r="U10" s="47">
        <f>T10/31.84%*53.08%</f>
        <v>347044494.45584172</v>
      </c>
      <c r="V10" s="46">
        <v>-194369.1</v>
      </c>
      <c r="W10" s="12"/>
      <c r="X10" s="46"/>
      <c r="Y10" s="47">
        <f>V10/31.84%*53.08%</f>
        <v>-324029.89409547736</v>
      </c>
      <c r="Z10" s="46">
        <v>188231000</v>
      </c>
      <c r="AA10" s="46">
        <v>340259137.50999999</v>
      </c>
      <c r="AB10" s="46">
        <v>12587965</v>
      </c>
      <c r="AC10" s="46">
        <v>200099.97</v>
      </c>
      <c r="AD10" s="46">
        <v>808215.84</v>
      </c>
      <c r="AE10" s="46">
        <v>207349.21</v>
      </c>
      <c r="AF10" s="46">
        <f>AE10+AD10</f>
        <v>1015565.0499999999</v>
      </c>
      <c r="AG10" s="46">
        <f t="shared" si="10"/>
        <v>608115.87</v>
      </c>
      <c r="AH10" s="44">
        <f t="shared" si="4"/>
        <v>-187215434.94999999</v>
      </c>
      <c r="AI10" s="44">
        <f t="shared" si="5"/>
        <v>0.53953124086893234</v>
      </c>
      <c r="AJ10" s="46">
        <f t="shared" si="11"/>
        <v>-339243572.45999998</v>
      </c>
      <c r="AK10" s="44">
        <f t="shared" ref="AK10:AK63" si="19">AF10/AA10%</f>
        <v>0.29846811974892318</v>
      </c>
      <c r="AL10" s="46" t="e">
        <f>AF10-#REF!</f>
        <v>#REF!</v>
      </c>
      <c r="AM10" s="46" t="e">
        <f>IF(#REF!=0,0,AF10/#REF!*100)</f>
        <v>#REF!</v>
      </c>
      <c r="AN10" s="44">
        <f t="shared" si="12"/>
        <v>-11572399.949999999</v>
      </c>
      <c r="AO10" s="44">
        <f t="shared" si="13"/>
        <v>8.0677460574445519</v>
      </c>
      <c r="AP10" s="46">
        <f t="shared" si="14"/>
        <v>1339594.9440954772</v>
      </c>
      <c r="AQ10" s="44">
        <f t="shared" ref="AQ10:AQ19" si="20">AF10/Y10%</f>
        <v>-313.41708543124651</v>
      </c>
      <c r="AR10" s="46">
        <f t="shared" ref="AR10:AR20" si="21">AF10-M10</f>
        <v>-57819885.045543224</v>
      </c>
      <c r="AS10" s="46">
        <f t="shared" ref="AS10:AS20" si="22">IF(M10=0,0,AF10/M10*100)</f>
        <v>1.726110785845639</v>
      </c>
      <c r="AT10" s="48" t="e">
        <f>#REF!</f>
        <v>#REF!</v>
      </c>
    </row>
    <row r="11" spans="1:46" s="10" customFormat="1" ht="61.5" hidden="1" customHeight="1" x14ac:dyDescent="0.3">
      <c r="A11" s="9"/>
      <c r="B11" s="115" t="s">
        <v>25</v>
      </c>
      <c r="C11" s="115"/>
      <c r="D11" s="115"/>
      <c r="E11" s="115"/>
      <c r="F11" s="115"/>
      <c r="G11" s="115"/>
      <c r="H11" s="115"/>
      <c r="I11" s="115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32452723.280000001</v>
      </c>
      <c r="T11" s="12">
        <v>33292866.140000004</v>
      </c>
      <c r="U11" s="12">
        <f>T11</f>
        <v>33292866.140000004</v>
      </c>
      <c r="V11" s="12">
        <v>0</v>
      </c>
      <c r="W11" s="12"/>
      <c r="X11" s="12"/>
      <c r="Y11" s="12">
        <f t="shared" ref="Y11:Y16" si="23">V11</f>
        <v>0</v>
      </c>
      <c r="Z11" s="12">
        <v>28603900</v>
      </c>
      <c r="AA11" s="12">
        <v>32294200</v>
      </c>
      <c r="AB11" s="12">
        <v>2684180</v>
      </c>
      <c r="AC11" s="12">
        <v>14820.17</v>
      </c>
      <c r="AD11" s="12">
        <v>0</v>
      </c>
      <c r="AE11" s="12">
        <v>14820.17</v>
      </c>
      <c r="AF11" s="12">
        <f t="shared" ref="AF11:AF62" si="24">AE11+AD11</f>
        <v>14820.17</v>
      </c>
      <c r="AG11" s="12">
        <f t="shared" si="10"/>
        <v>-14820.17</v>
      </c>
      <c r="AH11" s="44">
        <f t="shared" si="4"/>
        <v>-28589079.829999998</v>
      </c>
      <c r="AI11" s="44">
        <f t="shared" si="5"/>
        <v>5.181171099045935E-2</v>
      </c>
      <c r="AJ11" s="12">
        <f t="shared" si="11"/>
        <v>-32279379.829999998</v>
      </c>
      <c r="AK11" s="44">
        <f t="shared" si="19"/>
        <v>4.5891119767636296E-2</v>
      </c>
      <c r="AL11" s="12" t="e">
        <f>AF11-#REF!</f>
        <v>#REF!</v>
      </c>
      <c r="AM11" s="12" t="e">
        <f>IF(#REF!=0,0,AF11/#REF!*100)</f>
        <v>#REF!</v>
      </c>
      <c r="AN11" s="44">
        <f t="shared" si="12"/>
        <v>-2669359.83</v>
      </c>
      <c r="AO11" s="44">
        <f>AF11/AB11*100</f>
        <v>0.55213025952059847</v>
      </c>
      <c r="AP11" s="12">
        <f t="shared" si="14"/>
        <v>14820.17</v>
      </c>
      <c r="AQ11" s="44">
        <v>0</v>
      </c>
      <c r="AR11" s="12">
        <f t="shared" si="21"/>
        <v>-7879104.9400000004</v>
      </c>
      <c r="AS11" s="12">
        <f t="shared" si="22"/>
        <v>0.18774145679727633</v>
      </c>
      <c r="AT11" s="34">
        <v>24865000</v>
      </c>
    </row>
    <row r="12" spans="1:46" s="10" customFormat="1" ht="45.75" hidden="1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46</v>
      </c>
      <c r="J12" s="12">
        <v>0</v>
      </c>
      <c r="K12" s="12">
        <f t="shared" ref="K12:K13" si="25">J12</f>
        <v>0</v>
      </c>
      <c r="L12" s="12">
        <v>0</v>
      </c>
      <c r="M12" s="36">
        <f t="shared" ref="M12" si="26">L12</f>
        <v>0</v>
      </c>
      <c r="N12" s="12">
        <v>8810490.5399999991</v>
      </c>
      <c r="O12" s="12">
        <v>9529840.7599999998</v>
      </c>
      <c r="P12" s="12">
        <f t="shared" ref="P12:P15" si="27">O12</f>
        <v>9529840.7599999998</v>
      </c>
      <c r="Q12" s="12">
        <v>9529840.7599999998</v>
      </c>
      <c r="R12" s="12">
        <f>Q12</f>
        <v>9529840.7599999998</v>
      </c>
      <c r="S12" s="12">
        <v>13889032.949999999</v>
      </c>
      <c r="T12" s="12">
        <v>13804818.220000001</v>
      </c>
      <c r="U12" s="12">
        <f>T12</f>
        <v>13804818.220000001</v>
      </c>
      <c r="V12" s="12">
        <v>-139152.1</v>
      </c>
      <c r="W12" s="12"/>
      <c r="X12" s="12"/>
      <c r="Y12" s="12">
        <f t="shared" si="23"/>
        <v>-139152.1</v>
      </c>
      <c r="Z12" s="12">
        <v>11972000</v>
      </c>
      <c r="AA12" s="12">
        <v>27969000</v>
      </c>
      <c r="AB12" s="12">
        <v>5593</v>
      </c>
      <c r="AC12" s="12">
        <v>66759.990000000005</v>
      </c>
      <c r="AD12" s="12">
        <v>24563.46</v>
      </c>
      <c r="AE12" s="12">
        <v>66759.990000000005</v>
      </c>
      <c r="AF12" s="12">
        <f t="shared" si="24"/>
        <v>91323.450000000012</v>
      </c>
      <c r="AG12" s="12">
        <f t="shared" si="10"/>
        <v>-42196.530000000006</v>
      </c>
      <c r="AH12" s="44">
        <f t="shared" si="4"/>
        <v>-11880676.550000001</v>
      </c>
      <c r="AI12" s="44">
        <f t="shared" si="5"/>
        <v>0.76280863681924493</v>
      </c>
      <c r="AJ12" s="12">
        <f t="shared" si="11"/>
        <v>-27877676.550000001</v>
      </c>
      <c r="AK12" s="44">
        <f t="shared" si="19"/>
        <v>0.32651667918052135</v>
      </c>
      <c r="AL12" s="12" t="e">
        <f>AF12-#REF!</f>
        <v>#REF!</v>
      </c>
      <c r="AM12" s="12" t="e">
        <f>IF(#REF!=0,0,AF12/#REF!*100)</f>
        <v>#REF!</v>
      </c>
      <c r="AN12" s="44">
        <f t="shared" si="12"/>
        <v>85730.450000000012</v>
      </c>
      <c r="AO12" s="44">
        <f t="shared" si="13"/>
        <v>1632.8169139996426</v>
      </c>
      <c r="AP12" s="12">
        <f t="shared" si="14"/>
        <v>230475.55000000002</v>
      </c>
      <c r="AQ12" s="44">
        <f t="shared" si="20"/>
        <v>-65.628510097943192</v>
      </c>
      <c r="AR12" s="12">
        <f t="shared" si="21"/>
        <v>91323.450000000012</v>
      </c>
      <c r="AS12" s="12">
        <f t="shared" si="22"/>
        <v>0</v>
      </c>
      <c r="AT12" s="34">
        <f>AF12</f>
        <v>91323.450000000012</v>
      </c>
    </row>
    <row r="13" spans="1:46" s="10" customFormat="1" ht="70.5" hidden="1" customHeight="1" x14ac:dyDescent="0.3">
      <c r="A13" s="9"/>
      <c r="B13" s="115" t="s">
        <v>24</v>
      </c>
      <c r="C13" s="115"/>
      <c r="D13" s="115"/>
      <c r="E13" s="115"/>
      <c r="F13" s="115"/>
      <c r="G13" s="115"/>
      <c r="H13" s="115"/>
      <c r="I13" s="115"/>
      <c r="J13" s="12">
        <v>11880184.26</v>
      </c>
      <c r="K13" s="12">
        <f t="shared" si="25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7"/>
        <v>2940555.44</v>
      </c>
      <c r="Q13" s="12">
        <v>2940555.44</v>
      </c>
      <c r="R13" s="35">
        <f>U13</f>
        <v>-283271.29000000004</v>
      </c>
      <c r="S13" s="12">
        <v>0</v>
      </c>
      <c r="T13" s="12">
        <v>-283271.29000000004</v>
      </c>
      <c r="U13" s="12">
        <f t="shared" ref="U13:U15" si="28">T13</f>
        <v>-283271.29000000004</v>
      </c>
      <c r="V13" s="12">
        <v>-432693</v>
      </c>
      <c r="W13" s="12"/>
      <c r="X13" s="12"/>
      <c r="Y13" s="12">
        <f t="shared" si="23"/>
        <v>-432693</v>
      </c>
      <c r="Z13" s="12">
        <v>8000</v>
      </c>
      <c r="AA13" s="12">
        <v>0</v>
      </c>
      <c r="AB13" s="12">
        <v>0</v>
      </c>
      <c r="AC13" s="12">
        <v>0</v>
      </c>
      <c r="AD13" s="12">
        <v>1261.04</v>
      </c>
      <c r="AE13" s="12">
        <v>0</v>
      </c>
      <c r="AF13" s="12">
        <f t="shared" si="24"/>
        <v>1261.04</v>
      </c>
      <c r="AG13" s="12">
        <f t="shared" si="10"/>
        <v>1261.04</v>
      </c>
      <c r="AH13" s="44">
        <f t="shared" si="4"/>
        <v>-6738.96</v>
      </c>
      <c r="AI13" s="44">
        <f t="shared" si="5"/>
        <v>15.763</v>
      </c>
      <c r="AJ13" s="12">
        <f t="shared" si="11"/>
        <v>1261.04</v>
      </c>
      <c r="AK13" s="44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12"/>
        <v>1261.04</v>
      </c>
      <c r="AO13" s="44">
        <v>0</v>
      </c>
      <c r="AP13" s="12">
        <f t="shared" si="14"/>
        <v>433954.04</v>
      </c>
      <c r="AQ13" s="44">
        <f t="shared" si="20"/>
        <v>-0.2914398892517327</v>
      </c>
      <c r="AR13" s="12">
        <f t="shared" si="21"/>
        <v>-5413417.8200000003</v>
      </c>
      <c r="AS13" s="12">
        <f t="shared" si="22"/>
        <v>2.3289285156239164E-2</v>
      </c>
      <c r="AT13" s="34">
        <f>AF13</f>
        <v>1261.04</v>
      </c>
    </row>
    <row r="14" spans="1:46" s="10" customFormat="1" ht="42.75" hidden="1" customHeight="1" x14ac:dyDescent="0.3">
      <c r="A14" s="9"/>
      <c r="B14" s="115" t="s">
        <v>23</v>
      </c>
      <c r="C14" s="115"/>
      <c r="D14" s="115"/>
      <c r="E14" s="115"/>
      <c r="F14" s="115"/>
      <c r="G14" s="115"/>
      <c r="H14" s="115"/>
      <c r="I14" s="115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5984000</v>
      </c>
      <c r="T14" s="12">
        <v>6003187.1699999999</v>
      </c>
      <c r="U14" s="12">
        <f>T14</f>
        <v>6003187.1699999999</v>
      </c>
      <c r="V14" s="12">
        <v>160506.79999999999</v>
      </c>
      <c r="W14" s="12"/>
      <c r="X14" s="12"/>
      <c r="Y14" s="12">
        <f t="shared" si="23"/>
        <v>160506.79999999999</v>
      </c>
      <c r="Z14" s="12">
        <v>5814000</v>
      </c>
      <c r="AA14" s="12">
        <v>7692000</v>
      </c>
      <c r="AB14" s="12">
        <v>515364</v>
      </c>
      <c r="AC14" s="12">
        <v>8403</v>
      </c>
      <c r="AD14" s="12">
        <v>5000</v>
      </c>
      <c r="AE14" s="12">
        <v>8403</v>
      </c>
      <c r="AF14" s="12">
        <f t="shared" si="24"/>
        <v>13403</v>
      </c>
      <c r="AG14" s="12">
        <f t="shared" si="10"/>
        <v>-3403</v>
      </c>
      <c r="AH14" s="44">
        <f t="shared" si="4"/>
        <v>-5800597</v>
      </c>
      <c r="AI14" s="44">
        <f t="shared" si="5"/>
        <v>0.23052975576195392</v>
      </c>
      <c r="AJ14" s="12">
        <f t="shared" si="11"/>
        <v>-7678597</v>
      </c>
      <c r="AK14" s="44">
        <f t="shared" si="19"/>
        <v>0.17424596983879356</v>
      </c>
      <c r="AL14" s="12" t="e">
        <f>AF14-#REF!</f>
        <v>#REF!</v>
      </c>
      <c r="AM14" s="12" t="e">
        <f>IF(#REF!=0,0,AF14/#REF!*100)</f>
        <v>#REF!</v>
      </c>
      <c r="AN14" s="44">
        <f t="shared" si="12"/>
        <v>-501961</v>
      </c>
      <c r="AO14" s="44">
        <f t="shared" si="13"/>
        <v>2.6006861169969189</v>
      </c>
      <c r="AP14" s="12">
        <f t="shared" si="14"/>
        <v>-147103.79999999999</v>
      </c>
      <c r="AQ14" s="44">
        <f t="shared" si="20"/>
        <v>8.3504250287215243</v>
      </c>
      <c r="AR14" s="12">
        <f t="shared" si="21"/>
        <v>-3553674.86</v>
      </c>
      <c r="AS14" s="12">
        <f t="shared" si="22"/>
        <v>0.37574172827278851</v>
      </c>
      <c r="AT14" s="34">
        <f>AF14</f>
        <v>13403</v>
      </c>
    </row>
    <row r="15" spans="1:46" s="10" customFormat="1" ht="99" hidden="1" customHeight="1" x14ac:dyDescent="0.3">
      <c r="A15" s="9"/>
      <c r="B15" s="115" t="s">
        <v>22</v>
      </c>
      <c r="C15" s="115"/>
      <c r="D15" s="115"/>
      <c r="E15" s="115"/>
      <c r="F15" s="115"/>
      <c r="G15" s="115"/>
      <c r="H15" s="115"/>
      <c r="I15" s="115"/>
      <c r="J15" s="12">
        <v>199821.72</v>
      </c>
      <c r="K15" s="12">
        <f t="shared" ref="K15" si="29">J15</f>
        <v>199821.72</v>
      </c>
      <c r="L15" s="12">
        <v>141824.35999999999</v>
      </c>
      <c r="M15" s="12">
        <f t="shared" ref="M15" si="30">L15</f>
        <v>141824.35999999999</v>
      </c>
      <c r="N15" s="12">
        <v>4514274.29</v>
      </c>
      <c r="O15" s="12">
        <v>6011745.4100000001</v>
      </c>
      <c r="P15" s="12">
        <f t="shared" si="27"/>
        <v>6011745.4100000001</v>
      </c>
      <c r="Q15" s="12">
        <v>6011745.4100000001</v>
      </c>
      <c r="R15" s="12">
        <f t="shared" ref="R15" si="31">Q15</f>
        <v>6011745.4100000001</v>
      </c>
      <c r="S15" s="12">
        <v>2368000</v>
      </c>
      <c r="T15" s="12">
        <v>2659940.33</v>
      </c>
      <c r="U15" s="12">
        <f t="shared" si="28"/>
        <v>2659940.33</v>
      </c>
      <c r="V15" s="12">
        <v>-927222.58</v>
      </c>
      <c r="W15" s="12"/>
      <c r="X15" s="12"/>
      <c r="Y15" s="12">
        <f t="shared" si="23"/>
        <v>-927222.58</v>
      </c>
      <c r="Z15" s="12">
        <v>8168000</v>
      </c>
      <c r="AA15" s="12">
        <v>6694000</v>
      </c>
      <c r="AB15" s="12">
        <v>3694</v>
      </c>
      <c r="AC15" s="12">
        <v>2214027.36</v>
      </c>
      <c r="AD15" s="12">
        <v>1091261.72</v>
      </c>
      <c r="AE15" s="12">
        <v>2456774.48</v>
      </c>
      <c r="AF15" s="12">
        <f t="shared" si="24"/>
        <v>3548036.2</v>
      </c>
      <c r="AG15" s="12">
        <f t="shared" si="10"/>
        <v>-1122765.6399999999</v>
      </c>
      <c r="AH15" s="44">
        <f t="shared" si="4"/>
        <v>-4619963.8</v>
      </c>
      <c r="AI15" s="44">
        <f t="shared" si="5"/>
        <v>43.438249265426052</v>
      </c>
      <c r="AJ15" s="12">
        <f t="shared" si="11"/>
        <v>-3145963.8</v>
      </c>
      <c r="AK15" s="44">
        <f t="shared" si="19"/>
        <v>53.003229757992237</v>
      </c>
      <c r="AL15" s="12" t="e">
        <f>AF15-#REF!</f>
        <v>#REF!</v>
      </c>
      <c r="AM15" s="12" t="e">
        <f>IF(#REF!=0,0,AF15/#REF!*100)</f>
        <v>#REF!</v>
      </c>
      <c r="AN15" s="44">
        <f t="shared" si="12"/>
        <v>3544342.2</v>
      </c>
      <c r="AO15" s="44">
        <f t="shared" si="13"/>
        <v>96048.624796968055</v>
      </c>
      <c r="AP15" s="12">
        <f t="shared" si="14"/>
        <v>4475258.78</v>
      </c>
      <c r="AQ15" s="44">
        <f t="shared" si="20"/>
        <v>-382.65204887482355</v>
      </c>
      <c r="AR15" s="12">
        <f t="shared" si="21"/>
        <v>3406211.8400000003</v>
      </c>
      <c r="AS15" s="12">
        <f t="shared" si="22"/>
        <v>2501.7114126233323</v>
      </c>
      <c r="AT15" s="34">
        <f>AF15</f>
        <v>3548036.2</v>
      </c>
    </row>
    <row r="16" spans="1:46" s="10" customFormat="1" ht="65.25" hidden="1" customHeight="1" x14ac:dyDescent="0.3">
      <c r="A16" s="9"/>
      <c r="B16" s="115" t="s">
        <v>21</v>
      </c>
      <c r="C16" s="115"/>
      <c r="D16" s="115"/>
      <c r="E16" s="115"/>
      <c r="F16" s="115"/>
      <c r="G16" s="115"/>
      <c r="H16" s="115"/>
      <c r="I16" s="115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12388840.09</v>
      </c>
      <c r="T16" s="12">
        <v>12993656.51</v>
      </c>
      <c r="U16" s="12">
        <f>T16</f>
        <v>12993656.51</v>
      </c>
      <c r="V16" s="12">
        <v>-473847.52</v>
      </c>
      <c r="W16" s="12"/>
      <c r="X16" s="12"/>
      <c r="Y16" s="12">
        <f t="shared" si="23"/>
        <v>-473847.52</v>
      </c>
      <c r="Z16" s="12">
        <v>15443000</v>
      </c>
      <c r="AA16" s="12">
        <v>14460000</v>
      </c>
      <c r="AB16" s="12">
        <v>189200</v>
      </c>
      <c r="AC16" s="12">
        <v>182513.25</v>
      </c>
      <c r="AD16" s="12">
        <v>155762.35999999999</v>
      </c>
      <c r="AE16" s="12">
        <v>182111.25</v>
      </c>
      <c r="AF16" s="12">
        <f t="shared" si="24"/>
        <v>337873.61</v>
      </c>
      <c r="AG16" s="12">
        <f t="shared" si="10"/>
        <v>-26750.890000000014</v>
      </c>
      <c r="AH16" s="44">
        <f t="shared" si="4"/>
        <v>-15105126.390000001</v>
      </c>
      <c r="AI16" s="44">
        <f t="shared" si="5"/>
        <v>2.1878754775626499</v>
      </c>
      <c r="AJ16" s="12">
        <f t="shared" si="11"/>
        <v>-14122126.390000001</v>
      </c>
      <c r="AK16" s="44">
        <f t="shared" si="19"/>
        <v>2.336608644536653</v>
      </c>
      <c r="AL16" s="12" t="e">
        <f>AF16-#REF!</f>
        <v>#REF!</v>
      </c>
      <c r="AM16" s="12" t="e">
        <f>IF(#REF!=0,0,AF16/#REF!*100)</f>
        <v>#REF!</v>
      </c>
      <c r="AN16" s="44">
        <f t="shared" si="12"/>
        <v>148673.60999999999</v>
      </c>
      <c r="AO16" s="44">
        <f t="shared" si="13"/>
        <v>178.58013213530654</v>
      </c>
      <c r="AP16" s="12">
        <f t="shared" si="14"/>
        <v>811721.13</v>
      </c>
      <c r="AQ16" s="44">
        <f t="shared" si="20"/>
        <v>-71.304290038280669</v>
      </c>
      <c r="AR16" s="12">
        <f t="shared" si="21"/>
        <v>-822805.27999999991</v>
      </c>
      <c r="AS16" s="12">
        <f t="shared" si="22"/>
        <v>29.109998718077833</v>
      </c>
      <c r="AT16" s="34">
        <v>11117000</v>
      </c>
    </row>
    <row r="17" spans="1:46" s="10" customFormat="1" ht="24" hidden="1" customHeight="1" x14ac:dyDescent="0.3">
      <c r="A17" s="9"/>
      <c r="B17" s="115" t="s">
        <v>19</v>
      </c>
      <c r="C17" s="115"/>
      <c r="D17" s="115"/>
      <c r="E17" s="115"/>
      <c r="F17" s="115"/>
      <c r="G17" s="115"/>
      <c r="H17" s="115"/>
      <c r="I17" s="115"/>
      <c r="J17" s="12">
        <f t="shared" ref="J17:AF17" si="32">J18+J19</f>
        <v>59077329.089999996</v>
      </c>
      <c r="K17" s="12">
        <f t="shared" si="32"/>
        <v>59077329.089999996</v>
      </c>
      <c r="L17" s="12">
        <f t="shared" si="32"/>
        <v>13651268.75</v>
      </c>
      <c r="M17" s="12">
        <f t="shared" si="32"/>
        <v>13651268.75</v>
      </c>
      <c r="N17" s="12">
        <f t="shared" si="32"/>
        <v>57000020</v>
      </c>
      <c r="O17" s="12">
        <f t="shared" si="32"/>
        <v>59153838.839999996</v>
      </c>
      <c r="P17" s="12">
        <f t="shared" si="32"/>
        <v>59153838.839999996</v>
      </c>
      <c r="Q17" s="12">
        <v>59153838.839999996</v>
      </c>
      <c r="R17" s="12">
        <f t="shared" si="32"/>
        <v>59153838.839999996</v>
      </c>
      <c r="S17" s="12">
        <f t="shared" si="32"/>
        <v>54189000</v>
      </c>
      <c r="T17" s="12">
        <f t="shared" si="32"/>
        <v>55922478.88000001</v>
      </c>
      <c r="U17" s="12">
        <f t="shared" ref="U17:X17" si="33">U18+U19</f>
        <v>55922478.88000001</v>
      </c>
      <c r="V17" s="12">
        <f t="shared" si="33"/>
        <v>-2475986.4899999998</v>
      </c>
      <c r="W17" s="12"/>
      <c r="X17" s="12">
        <f t="shared" si="33"/>
        <v>0</v>
      </c>
      <c r="Y17" s="12">
        <f>Y18+Y19</f>
        <v>-2475986.4899999998</v>
      </c>
      <c r="Z17" s="12">
        <f t="shared" ref="Z17:AB17" si="34">Z18+Z19</f>
        <v>57489000</v>
      </c>
      <c r="AA17" s="12">
        <f t="shared" si="34"/>
        <v>56779000</v>
      </c>
      <c r="AB17" s="12">
        <f t="shared" si="34"/>
        <v>43265</v>
      </c>
      <c r="AC17" s="12">
        <f t="shared" ref="AC17:AD17" si="35">AC18+AC19</f>
        <v>254751</v>
      </c>
      <c r="AD17" s="12">
        <f t="shared" si="35"/>
        <v>673926.15999999992</v>
      </c>
      <c r="AE17" s="12">
        <v>254290</v>
      </c>
      <c r="AF17" s="12">
        <f t="shared" si="32"/>
        <v>928216.15999999992</v>
      </c>
      <c r="AG17" s="12">
        <f t="shared" si="10"/>
        <v>419175.15999999992</v>
      </c>
      <c r="AH17" s="44">
        <f t="shared" si="4"/>
        <v>-56560783.840000004</v>
      </c>
      <c r="AI17" s="44">
        <f t="shared" si="5"/>
        <v>1.614597853502409</v>
      </c>
      <c r="AJ17" s="12">
        <f t="shared" si="11"/>
        <v>-55850783.840000004</v>
      </c>
      <c r="AK17" s="44">
        <f t="shared" si="19"/>
        <v>1.6347877912608533</v>
      </c>
      <c r="AL17" s="12" t="e">
        <f>AF17-#REF!</f>
        <v>#REF!</v>
      </c>
      <c r="AM17" s="12" t="e">
        <f>IF(#REF!=0,0,AF17/#REF!*100)</f>
        <v>#REF!</v>
      </c>
      <c r="AN17" s="44">
        <f t="shared" si="12"/>
        <v>884951.15999999992</v>
      </c>
      <c r="AO17" s="44">
        <f t="shared" si="13"/>
        <v>2145.4204553334102</v>
      </c>
      <c r="AP17" s="12">
        <f t="shared" si="14"/>
        <v>3404202.6499999994</v>
      </c>
      <c r="AQ17" s="44">
        <f t="shared" si="20"/>
        <v>-37.488740901813244</v>
      </c>
      <c r="AR17" s="12">
        <f t="shared" si="21"/>
        <v>-12723052.59</v>
      </c>
      <c r="AS17" s="12">
        <f t="shared" si="22"/>
        <v>6.799486384736217</v>
      </c>
      <c r="AT17" s="34">
        <f>AT18+AT19</f>
        <v>928216.15999999992</v>
      </c>
    </row>
    <row r="18" spans="1:46" s="5" customFormat="1" ht="63.75" hidden="1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66">
        <f>22176753.05-79100</f>
        <v>22097653.050000001</v>
      </c>
      <c r="T18" s="13">
        <v>22097683.809999999</v>
      </c>
      <c r="U18" s="13">
        <f>T18</f>
        <v>22097683.809999999</v>
      </c>
      <c r="V18" s="53">
        <f>14287.52-1299</f>
        <v>12988.52</v>
      </c>
      <c r="W18" s="53"/>
      <c r="X18" s="53"/>
      <c r="Y18" s="13">
        <f>V18</f>
        <v>12988.52</v>
      </c>
      <c r="Z18" s="66">
        <v>23363753.050000001</v>
      </c>
      <c r="AA18" s="66">
        <v>22995495</v>
      </c>
      <c r="AB18" s="16">
        <v>22995</v>
      </c>
      <c r="AC18" s="13">
        <v>-186.21</v>
      </c>
      <c r="AD18" s="13">
        <v>381609.25</v>
      </c>
      <c r="AE18" s="13">
        <v>-647.21</v>
      </c>
      <c r="AF18" s="13">
        <f t="shared" si="24"/>
        <v>380962.04</v>
      </c>
      <c r="AG18" s="13">
        <f t="shared" si="10"/>
        <v>381795.46</v>
      </c>
      <c r="AH18" s="44">
        <f t="shared" si="4"/>
        <v>-22982791.010000002</v>
      </c>
      <c r="AI18" s="44">
        <f t="shared" si="5"/>
        <v>1.6305686812590239</v>
      </c>
      <c r="AJ18" s="13">
        <f t="shared" si="11"/>
        <v>-22614532.960000001</v>
      </c>
      <c r="AK18" s="44">
        <f t="shared" si="19"/>
        <v>1.656681189076382</v>
      </c>
      <c r="AL18" s="13" t="e">
        <f>AF18-#REF!</f>
        <v>#REF!</v>
      </c>
      <c r="AM18" s="13" t="e">
        <f>IF(#REF!=0,0,AF18/#REF!*100)</f>
        <v>#REF!</v>
      </c>
      <c r="AN18" s="44">
        <f t="shared" si="12"/>
        <v>357967.04</v>
      </c>
      <c r="AO18" s="44">
        <f t="shared" si="13"/>
        <v>1656.716851489454</v>
      </c>
      <c r="AP18" s="13">
        <f t="shared" si="14"/>
        <v>367973.51999999996</v>
      </c>
      <c r="AQ18" s="44">
        <f t="shared" si="20"/>
        <v>2933.0673548641416</v>
      </c>
      <c r="AR18" s="13">
        <f t="shared" si="21"/>
        <v>-9704654.4700000007</v>
      </c>
      <c r="AS18" s="13">
        <f t="shared" si="22"/>
        <v>3.7772806414191131</v>
      </c>
      <c r="AT18" s="31">
        <f>AF18</f>
        <v>380962.04</v>
      </c>
    </row>
    <row r="19" spans="1:46" s="5" customFormat="1" ht="61.5" hidden="1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66">
        <f>32012246.95+79100</f>
        <v>32091346.949999999</v>
      </c>
      <c r="T19" s="13">
        <v>33824795.070000008</v>
      </c>
      <c r="U19" s="13">
        <f>T19</f>
        <v>33824795.070000008</v>
      </c>
      <c r="V19" s="53">
        <v>-2488975.0099999998</v>
      </c>
      <c r="W19" s="53"/>
      <c r="X19" s="53"/>
      <c r="Y19" s="13">
        <f>V19</f>
        <v>-2488975.0099999998</v>
      </c>
      <c r="Z19" s="66">
        <v>34125246.950000003</v>
      </c>
      <c r="AA19" s="66">
        <v>33783505</v>
      </c>
      <c r="AB19" s="16">
        <v>20270</v>
      </c>
      <c r="AC19" s="13">
        <v>254937.21</v>
      </c>
      <c r="AD19" s="13">
        <v>292316.90999999997</v>
      </c>
      <c r="AE19" s="13">
        <v>254937.21</v>
      </c>
      <c r="AF19" s="13">
        <f t="shared" si="24"/>
        <v>547254.12</v>
      </c>
      <c r="AG19" s="13">
        <f t="shared" si="10"/>
        <v>37379.699999999983</v>
      </c>
      <c r="AH19" s="44">
        <f t="shared" si="4"/>
        <v>-33577992.830000006</v>
      </c>
      <c r="AI19" s="44">
        <f t="shared" si="5"/>
        <v>1.6036634718038278</v>
      </c>
      <c r="AJ19" s="13">
        <f t="shared" si="11"/>
        <v>-33236250.879999999</v>
      </c>
      <c r="AK19" s="44">
        <f t="shared" si="19"/>
        <v>1.6198855624956618</v>
      </c>
      <c r="AL19" s="13" t="e">
        <f>AF19-#REF!</f>
        <v>#REF!</v>
      </c>
      <c r="AM19" s="13" t="e">
        <f>IF(#REF!=0,0,AF19/#REF!*100)</f>
        <v>#REF!</v>
      </c>
      <c r="AN19" s="44">
        <f t="shared" si="12"/>
        <v>526984.12</v>
      </c>
      <c r="AO19" s="44">
        <f t="shared" si="13"/>
        <v>2699.822989639862</v>
      </c>
      <c r="AP19" s="13">
        <f t="shared" si="14"/>
        <v>3036229.13</v>
      </c>
      <c r="AQ19" s="44">
        <f t="shared" si="20"/>
        <v>-21.987127946294649</v>
      </c>
      <c r="AR19" s="13">
        <f t="shared" si="21"/>
        <v>-3018398.12</v>
      </c>
      <c r="AS19" s="13">
        <f t="shared" si="22"/>
        <v>15.347938698587161</v>
      </c>
      <c r="AT19" s="31">
        <f>AF19</f>
        <v>547254.12</v>
      </c>
    </row>
    <row r="20" spans="1:46" s="10" customFormat="1" ht="30.75" hidden="1" customHeight="1" x14ac:dyDescent="0.3">
      <c r="A20" s="9"/>
      <c r="B20" s="115" t="s">
        <v>18</v>
      </c>
      <c r="C20" s="115"/>
      <c r="D20" s="115"/>
      <c r="E20" s="115"/>
      <c r="F20" s="115"/>
      <c r="G20" s="115"/>
      <c r="H20" s="115"/>
      <c r="I20" s="115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7000000</v>
      </c>
      <c r="T20" s="12">
        <v>7202959.6600000001</v>
      </c>
      <c r="U20" s="12">
        <f>T20</f>
        <v>7202959.6600000001</v>
      </c>
      <c r="V20" s="12">
        <v>126919.38</v>
      </c>
      <c r="W20" s="12"/>
      <c r="X20" s="12"/>
      <c r="Y20" s="12">
        <f>V20</f>
        <v>126919.38</v>
      </c>
      <c r="Z20" s="12">
        <v>7706000</v>
      </c>
      <c r="AA20" s="12">
        <v>7743000</v>
      </c>
      <c r="AB20" s="12">
        <v>340692</v>
      </c>
      <c r="AC20" s="12">
        <v>106158.02</v>
      </c>
      <c r="AD20" s="12">
        <v>38172.660000000003</v>
      </c>
      <c r="AE20" s="12">
        <v>104512.82</v>
      </c>
      <c r="AF20" s="12">
        <f t="shared" si="24"/>
        <v>142685.48000000001</v>
      </c>
      <c r="AG20" s="12">
        <f t="shared" si="10"/>
        <v>-67985.36</v>
      </c>
      <c r="AH20" s="44">
        <f t="shared" si="4"/>
        <v>-7563314.5199999996</v>
      </c>
      <c r="AI20" s="44">
        <f t="shared" si="5"/>
        <v>1.8516153646509215</v>
      </c>
      <c r="AJ20" s="12">
        <f t="shared" si="11"/>
        <v>-7600314.5199999996</v>
      </c>
      <c r="AK20" s="44">
        <f t="shared" si="19"/>
        <v>1.8427674028154464</v>
      </c>
      <c r="AL20" s="12" t="e">
        <f>AF20-#REF!</f>
        <v>#REF!</v>
      </c>
      <c r="AM20" s="12" t="e">
        <f>IF(#REF!=0,0,AF20/#REF!*100)</f>
        <v>#REF!</v>
      </c>
      <c r="AN20" s="44">
        <f t="shared" si="12"/>
        <v>-198006.52</v>
      </c>
      <c r="AO20" s="44">
        <f t="shared" si="13"/>
        <v>41.881077336714689</v>
      </c>
      <c r="AP20" s="12">
        <f t="shared" si="14"/>
        <v>15766.100000000006</v>
      </c>
      <c r="AQ20" s="44">
        <f t="shared" ref="AQ20:AQ63" si="36">AF20/Y20%</f>
        <v>112.42213758056494</v>
      </c>
      <c r="AR20" s="12">
        <f t="shared" si="21"/>
        <v>-2931333.98</v>
      </c>
      <c r="AS20" s="12">
        <f t="shared" si="22"/>
        <v>4.6416583192352343</v>
      </c>
      <c r="AT20" s="34">
        <f>AF20</f>
        <v>142685.48000000001</v>
      </c>
    </row>
    <row r="21" spans="1:46" s="10" customFormat="1" ht="62.25" hidden="1" customHeight="1" x14ac:dyDescent="0.3">
      <c r="A21" s="9"/>
      <c r="B21" s="116" t="s">
        <v>58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7"/>
      <c r="N21" s="12"/>
      <c r="O21" s="12"/>
      <c r="P21" s="12">
        <v>0</v>
      </c>
      <c r="Q21" s="12"/>
      <c r="R21" s="12">
        <v>0</v>
      </c>
      <c r="S21" s="12">
        <v>0</v>
      </c>
      <c r="T21" s="12">
        <v>0</v>
      </c>
      <c r="U21" s="12">
        <f>T21</f>
        <v>0</v>
      </c>
      <c r="V21" s="12">
        <v>0</v>
      </c>
      <c r="W21" s="12"/>
      <c r="X21" s="12"/>
      <c r="Y21" s="12">
        <f>V21</f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f t="shared" si="24"/>
        <v>0</v>
      </c>
      <c r="AG21" s="12">
        <v>0</v>
      </c>
      <c r="AH21" s="44">
        <f t="shared" si="4"/>
        <v>0</v>
      </c>
      <c r="AI21" s="44">
        <v>0</v>
      </c>
      <c r="AJ21" s="12">
        <f t="shared" si="11"/>
        <v>0</v>
      </c>
      <c r="AK21" s="44">
        <v>0</v>
      </c>
      <c r="AL21" s="12"/>
      <c r="AM21" s="12"/>
      <c r="AN21" s="44">
        <f t="shared" si="12"/>
        <v>0</v>
      </c>
      <c r="AO21" s="44">
        <v>0</v>
      </c>
      <c r="AP21" s="12">
        <f t="shared" si="14"/>
        <v>0</v>
      </c>
      <c r="AQ21" s="44">
        <v>0</v>
      </c>
      <c r="AR21" s="12"/>
      <c r="AS21" s="12"/>
      <c r="AT21" s="34"/>
    </row>
    <row r="22" spans="1:46" s="10" customFormat="1" ht="37.5" hidden="1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69</v>
      </c>
      <c r="J22" s="74"/>
      <c r="K22" s="74"/>
      <c r="L22" s="74"/>
      <c r="M22" s="75"/>
      <c r="N22" s="71"/>
      <c r="O22" s="71"/>
      <c r="P22" s="71"/>
      <c r="Q22" s="71"/>
      <c r="R22" s="71"/>
      <c r="S22" s="71">
        <f t="shared" ref="S22:T22" si="37">S23+S36+S37+S45+S48+S50</f>
        <v>86476358.480000004</v>
      </c>
      <c r="T22" s="71">
        <f t="shared" si="37"/>
        <v>93832615.929999977</v>
      </c>
      <c r="U22" s="71">
        <f>U23+U36+U37+U45+U48+U50</f>
        <v>91729067.069999978</v>
      </c>
      <c r="V22" s="71">
        <f>V23+V36+V37+V45+V48+V50</f>
        <v>3829316.16</v>
      </c>
      <c r="W22" s="71"/>
      <c r="X22" s="71">
        <f t="shared" ref="X22:AD22" si="38">X23+X36+X37+X45+X48+X50</f>
        <v>0</v>
      </c>
      <c r="Y22" s="71">
        <f t="shared" si="38"/>
        <v>3829316.16</v>
      </c>
      <c r="Z22" s="71">
        <f t="shared" si="38"/>
        <v>76980199.650000006</v>
      </c>
      <c r="AA22" s="71">
        <f t="shared" si="38"/>
        <v>83709117.450000003</v>
      </c>
      <c r="AB22" s="71">
        <f t="shared" si="38"/>
        <v>1614331.4100000001</v>
      </c>
      <c r="AC22" s="71">
        <f t="shared" ref="AC22" si="39">AC23+AC36+AC37+AC45+AC48+AC50</f>
        <v>149792.45000000001</v>
      </c>
      <c r="AD22" s="71">
        <f t="shared" si="38"/>
        <v>468175.85</v>
      </c>
      <c r="AE22" s="71">
        <v>172593.45</v>
      </c>
      <c r="AF22" s="71">
        <f>AF23+AF36+AF37+AF45+AF48+AF50</f>
        <v>640769.30000000005</v>
      </c>
      <c r="AG22" s="71">
        <f t="shared" ref="AG22" si="40">AD22-AC22</f>
        <v>318383.39999999997</v>
      </c>
      <c r="AH22" s="72">
        <f t="shared" si="4"/>
        <v>-76339430.350000009</v>
      </c>
      <c r="AI22" s="72">
        <f t="shared" ref="AI22" si="41">AF22/Z22*100</f>
        <v>0.83238196693868927</v>
      </c>
      <c r="AJ22" s="71">
        <f t="shared" si="11"/>
        <v>-83068348.150000006</v>
      </c>
      <c r="AK22" s="72">
        <f t="shared" ref="AK22" si="42">AF22/AA22%</f>
        <v>0.76547133636038589</v>
      </c>
      <c r="AL22" s="71" t="e">
        <f>AF22-#REF!</f>
        <v>#REF!</v>
      </c>
      <c r="AM22" s="71" t="e">
        <f>IF(#REF!=0,0,AF22/#REF!*100)</f>
        <v>#REF!</v>
      </c>
      <c r="AN22" s="72">
        <f t="shared" si="12"/>
        <v>-973562.1100000001</v>
      </c>
      <c r="AO22" s="72">
        <f t="shared" ref="AO22" si="43">AF22/AB22*100</f>
        <v>39.692549871156878</v>
      </c>
      <c r="AP22" s="71">
        <f t="shared" si="14"/>
        <v>-3188546.8600000003</v>
      </c>
      <c r="AQ22" s="72">
        <f t="shared" ref="AQ22" si="44">AF22/Y22%</f>
        <v>16.733256624075668</v>
      </c>
      <c r="AR22" s="12"/>
      <c r="AS22" s="12"/>
      <c r="AT22" s="34"/>
    </row>
    <row r="23" spans="1:46" s="10" customFormat="1" ht="83.25" hidden="1" customHeight="1" x14ac:dyDescent="0.3">
      <c r="A23" s="9"/>
      <c r="B23" s="115" t="s">
        <v>17</v>
      </c>
      <c r="C23" s="115"/>
      <c r="D23" s="115"/>
      <c r="E23" s="115"/>
      <c r="F23" s="115"/>
      <c r="G23" s="115"/>
      <c r="H23" s="115"/>
      <c r="I23" s="115"/>
      <c r="J23" s="60">
        <f t="shared" ref="J23:AF23" si="45">J24+J27+J29+J31</f>
        <v>39449619.330000006</v>
      </c>
      <c r="K23" s="60">
        <f t="shared" si="45"/>
        <v>39449619.330000006</v>
      </c>
      <c r="L23" s="60">
        <f t="shared" si="45"/>
        <v>10238465.989999998</v>
      </c>
      <c r="M23" s="60">
        <f t="shared" si="45"/>
        <v>10238465.989999998</v>
      </c>
      <c r="N23" s="12">
        <f t="shared" si="45"/>
        <v>42188190.339999996</v>
      </c>
      <c r="O23" s="12">
        <f t="shared" si="45"/>
        <v>49536681.379999995</v>
      </c>
      <c r="P23" s="12">
        <f t="shared" si="45"/>
        <v>49536681.379999988</v>
      </c>
      <c r="Q23" s="12">
        <v>49536681.379999995</v>
      </c>
      <c r="R23" s="12">
        <f>R24+R27+R29+R31</f>
        <v>49536681.379999995</v>
      </c>
      <c r="S23" s="12">
        <f t="shared" ref="S23:T23" si="46">S24+S27+S29+S31</f>
        <v>42777461.119999997</v>
      </c>
      <c r="T23" s="12">
        <f t="shared" si="46"/>
        <v>47630236.639999993</v>
      </c>
      <c r="U23" s="12">
        <f>U24+U27+U29+U31</f>
        <v>46969616.779999994</v>
      </c>
      <c r="V23" s="12">
        <f t="shared" ref="V23:X23" si="47">V24+V27+V29+V31</f>
        <v>1017521.9900000001</v>
      </c>
      <c r="W23" s="12"/>
      <c r="X23" s="12">
        <f t="shared" si="47"/>
        <v>0</v>
      </c>
      <c r="Y23" s="12">
        <f>Y24+Y27+Y29+Y31</f>
        <v>1017521.9900000001</v>
      </c>
      <c r="Z23" s="12">
        <f t="shared" ref="Z23:AB23" si="48">Z24+Z27+Z29+Z31</f>
        <v>47029000</v>
      </c>
      <c r="AA23" s="12">
        <f t="shared" si="48"/>
        <v>49534190</v>
      </c>
      <c r="AB23" s="12">
        <f t="shared" si="48"/>
        <v>122566.39000000001</v>
      </c>
      <c r="AC23" s="12">
        <f>AC24+AC27+AC29+AC31</f>
        <v>142386</v>
      </c>
      <c r="AD23" s="12">
        <f>AD24+AD27+AD29+AD31</f>
        <v>85462.78</v>
      </c>
      <c r="AE23" s="12">
        <v>165187</v>
      </c>
      <c r="AF23" s="12">
        <f t="shared" si="45"/>
        <v>250649.78000000003</v>
      </c>
      <c r="AG23" s="12">
        <f t="shared" si="10"/>
        <v>-56923.22</v>
      </c>
      <c r="AH23" s="44">
        <f t="shared" si="4"/>
        <v>-46778350.219999999</v>
      </c>
      <c r="AI23" s="44">
        <f t="shared" si="5"/>
        <v>0.53296855131939869</v>
      </c>
      <c r="AJ23" s="12">
        <f t="shared" si="11"/>
        <v>-49283540.219999999</v>
      </c>
      <c r="AK23" s="44">
        <f t="shared" si="19"/>
        <v>0.50601368468930252</v>
      </c>
      <c r="AL23" s="12" t="e">
        <f>AF23-#REF!</f>
        <v>#REF!</v>
      </c>
      <c r="AM23" s="12" t="e">
        <f>IF(#REF!=0,0,AF23/#REF!*100)</f>
        <v>#REF!</v>
      </c>
      <c r="AN23" s="44">
        <f t="shared" si="12"/>
        <v>128083.39000000001</v>
      </c>
      <c r="AO23" s="44">
        <f t="shared" si="13"/>
        <v>204.50123398429213</v>
      </c>
      <c r="AP23" s="12">
        <f t="shared" si="14"/>
        <v>-766872.21000000008</v>
      </c>
      <c r="AQ23" s="44">
        <f t="shared" si="36"/>
        <v>24.63335264135176</v>
      </c>
      <c r="AR23" s="12">
        <f>AF23-M23</f>
        <v>-9987816.209999999</v>
      </c>
      <c r="AS23" s="12">
        <f>IF(M23=0,0,AF23/M23*100)</f>
        <v>2.4481184998300711</v>
      </c>
      <c r="AT23" s="34">
        <f>AT24+AT27+AT29+AT31</f>
        <v>232268.78000000003</v>
      </c>
    </row>
    <row r="24" spans="1:46" s="5" customFormat="1" ht="114.75" hidden="1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70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2">
        <f>S25+S26</f>
        <v>40694592</v>
      </c>
      <c r="T24" s="12">
        <f>T25+T26</f>
        <v>44704080.449999996</v>
      </c>
      <c r="U24" s="13">
        <f t="shared" ref="U24:Z24" si="49">U25+U26</f>
        <v>44043460.589999996</v>
      </c>
      <c r="V24" s="12">
        <f>V25+V26</f>
        <v>928099.53</v>
      </c>
      <c r="W24" s="13"/>
      <c r="X24" s="13">
        <f t="shared" si="49"/>
        <v>0</v>
      </c>
      <c r="Y24" s="12">
        <f t="shared" si="49"/>
        <v>928099.53</v>
      </c>
      <c r="Z24" s="12">
        <f t="shared" si="49"/>
        <v>46880510</v>
      </c>
      <c r="AA24" s="12">
        <f>AA25+AA26</f>
        <v>48200367.740000002</v>
      </c>
      <c r="AB24" s="12">
        <f>AB25+AB26</f>
        <v>0</v>
      </c>
      <c r="AC24" s="12">
        <f>AC25+AC26</f>
        <v>111650</v>
      </c>
      <c r="AD24" s="12">
        <f>AD25+AD26</f>
        <v>45000.81</v>
      </c>
      <c r="AE24" s="12">
        <v>134451</v>
      </c>
      <c r="AF24" s="12">
        <f t="shared" ref="AF24" si="50">AF25+AF26</f>
        <v>179451.81000000003</v>
      </c>
      <c r="AG24" s="12">
        <f>AD24-AC24</f>
        <v>-66649.19</v>
      </c>
      <c r="AH24" s="44">
        <f t="shared" si="4"/>
        <v>-46701058.189999998</v>
      </c>
      <c r="AI24" s="44">
        <f t="shared" si="5"/>
        <v>0.38278553283656691</v>
      </c>
      <c r="AJ24" s="12">
        <f t="shared" si="11"/>
        <v>-48020915.93</v>
      </c>
      <c r="AK24" s="44">
        <f t="shared" si="19"/>
        <v>0.37230381927372408</v>
      </c>
      <c r="AL24" s="12" t="e">
        <f>AF24-#REF!</f>
        <v>#REF!</v>
      </c>
      <c r="AM24" s="12" t="e">
        <f>IF(#REF!=0,0,AF24/#REF!*100)</f>
        <v>#REF!</v>
      </c>
      <c r="AN24" s="44">
        <f t="shared" si="12"/>
        <v>179451.81000000003</v>
      </c>
      <c r="AO24" s="44">
        <v>0</v>
      </c>
      <c r="AP24" s="12">
        <f t="shared" si="14"/>
        <v>-748647.72</v>
      </c>
      <c r="AQ24" s="44">
        <f t="shared" si="36"/>
        <v>19.335405761922971</v>
      </c>
      <c r="AR24" s="12">
        <f>AF24-M24</f>
        <v>-9688692.7999999989</v>
      </c>
      <c r="AS24" s="12">
        <f>IF(M24=0,0,AF24/M24*100)</f>
        <v>1.8184959492603143</v>
      </c>
      <c r="AT24" s="31">
        <f>AF24</f>
        <v>179451.81000000003</v>
      </c>
    </row>
    <row r="25" spans="1:46" s="5" customFormat="1" ht="37.5" hidden="1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71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f>28818952-221000</f>
        <v>28597952</v>
      </c>
      <c r="T25" s="13">
        <v>28598904.269999996</v>
      </c>
      <c r="U25" s="12">
        <v>29761276.809999999</v>
      </c>
      <c r="V25" s="13">
        <v>242683.2</v>
      </c>
      <c r="W25" s="13"/>
      <c r="X25" s="13"/>
      <c r="Y25" s="13">
        <f>V25</f>
        <v>242683.2</v>
      </c>
      <c r="Z25" s="13">
        <v>34696660</v>
      </c>
      <c r="AA25" s="13">
        <v>36508280</v>
      </c>
      <c r="AB25" s="13">
        <v>0</v>
      </c>
      <c r="AC25" s="13">
        <v>111650</v>
      </c>
      <c r="AD25" s="13">
        <v>37612.58</v>
      </c>
      <c r="AE25" s="13">
        <v>134451</v>
      </c>
      <c r="AF25" s="13">
        <f t="shared" si="24"/>
        <v>172063.58000000002</v>
      </c>
      <c r="AG25" s="13">
        <f>AD25-AC25</f>
        <v>-74037.42</v>
      </c>
      <c r="AH25" s="44">
        <f t="shared" si="4"/>
        <v>-34524596.420000002</v>
      </c>
      <c r="AI25" s="44">
        <f t="shared" si="5"/>
        <v>0.49590819404519054</v>
      </c>
      <c r="AJ25" s="13">
        <f t="shared" si="11"/>
        <v>-36336216.420000002</v>
      </c>
      <c r="AK25" s="42">
        <f t="shared" si="19"/>
        <v>0.47130015437593886</v>
      </c>
      <c r="AL25" s="13"/>
      <c r="AM25" s="13"/>
      <c r="AN25" s="42">
        <f t="shared" si="12"/>
        <v>172063.58000000002</v>
      </c>
      <c r="AO25" s="42">
        <v>0</v>
      </c>
      <c r="AP25" s="13">
        <f t="shared" si="14"/>
        <v>-70619.62</v>
      </c>
      <c r="AQ25" s="42">
        <f t="shared" si="36"/>
        <v>70.900490845678647</v>
      </c>
      <c r="AR25" s="12"/>
      <c r="AS25" s="12"/>
      <c r="AT25" s="31"/>
    </row>
    <row r="26" spans="1:46" s="5" customFormat="1" ht="67.5" hidden="1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83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f>7223550+4652090+221000</f>
        <v>12096640</v>
      </c>
      <c r="T26" s="13">
        <v>16105176.18</v>
      </c>
      <c r="U26" s="12">
        <v>14282183.779999999</v>
      </c>
      <c r="V26" s="16">
        <f>555409.58+130006.75</f>
        <v>685416.33</v>
      </c>
      <c r="W26" s="16"/>
      <c r="X26" s="16"/>
      <c r="Y26" s="13">
        <f>V26</f>
        <v>685416.33</v>
      </c>
      <c r="Z26" s="13">
        <v>12183850</v>
      </c>
      <c r="AA26" s="13">
        <f>6966987.74+4725100</f>
        <v>11692087.74</v>
      </c>
      <c r="AB26" s="13">
        <v>0</v>
      </c>
      <c r="AC26" s="13">
        <v>0</v>
      </c>
      <c r="AD26" s="13">
        <v>7388.23</v>
      </c>
      <c r="AE26" s="13">
        <v>0</v>
      </c>
      <c r="AF26" s="13">
        <f t="shared" si="24"/>
        <v>7388.23</v>
      </c>
      <c r="AG26" s="13">
        <f>AD26-AC26</f>
        <v>7388.23</v>
      </c>
      <c r="AH26" s="44">
        <f t="shared" si="4"/>
        <v>-12176461.77</v>
      </c>
      <c r="AI26" s="44">
        <f t="shared" si="5"/>
        <v>6.0639535122313556E-2</v>
      </c>
      <c r="AJ26" s="12">
        <f t="shared" si="11"/>
        <v>-11684699.51</v>
      </c>
      <c r="AK26" s="42">
        <f t="shared" si="19"/>
        <v>6.3189997922475385E-2</v>
      </c>
      <c r="AL26" s="13"/>
      <c r="AM26" s="13"/>
      <c r="AN26" s="42">
        <f t="shared" si="12"/>
        <v>7388.23</v>
      </c>
      <c r="AO26" s="42">
        <v>0</v>
      </c>
      <c r="AP26" s="13">
        <f t="shared" si="14"/>
        <v>-678028.1</v>
      </c>
      <c r="AQ26" s="42">
        <f t="shared" si="36"/>
        <v>1.0779185841691283</v>
      </c>
      <c r="AR26" s="12"/>
      <c r="AS26" s="12"/>
      <c r="AT26" s="31"/>
    </row>
    <row r="27" spans="1:46" s="5" customFormat="1" ht="80.25" hidden="1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72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2">
        <f t="shared" ref="S27:T27" si="51">S28</f>
        <v>989651.62</v>
      </c>
      <c r="T27" s="12">
        <f t="shared" si="51"/>
        <v>1733380.9700000002</v>
      </c>
      <c r="U27" s="13">
        <f t="shared" ref="U27:AB27" si="52">U28</f>
        <v>1733380.9700000002</v>
      </c>
      <c r="V27" s="12">
        <f t="shared" si="52"/>
        <v>80096.67</v>
      </c>
      <c r="W27" s="13"/>
      <c r="X27" s="13"/>
      <c r="Y27" s="12">
        <f t="shared" si="52"/>
        <v>80096.67</v>
      </c>
      <c r="Z27" s="12">
        <f t="shared" si="52"/>
        <v>100490</v>
      </c>
      <c r="AA27" s="12">
        <f t="shared" si="52"/>
        <v>549832.26</v>
      </c>
      <c r="AB27" s="12">
        <f t="shared" si="52"/>
        <v>101337.23000000001</v>
      </c>
      <c r="AC27" s="12">
        <f>AC28</f>
        <v>12355</v>
      </c>
      <c r="AD27" s="12">
        <f>AD28</f>
        <v>40461.97</v>
      </c>
      <c r="AE27" s="12">
        <v>12355</v>
      </c>
      <c r="AF27" s="12">
        <f t="shared" ref="AF27" si="53">AF28</f>
        <v>52816.97</v>
      </c>
      <c r="AG27" s="12">
        <f t="shared" si="10"/>
        <v>28106.97</v>
      </c>
      <c r="AH27" s="44">
        <f t="shared" si="4"/>
        <v>-47673.03</v>
      </c>
      <c r="AI27" s="44">
        <f t="shared" si="5"/>
        <v>52.559428798885463</v>
      </c>
      <c r="AJ27" s="12">
        <f t="shared" si="11"/>
        <v>-497015.29000000004</v>
      </c>
      <c r="AK27" s="44">
        <f t="shared" si="19"/>
        <v>9.6060151145005559</v>
      </c>
      <c r="AL27" s="12" t="e">
        <f>AF27-#REF!</f>
        <v>#REF!</v>
      </c>
      <c r="AM27" s="12" t="e">
        <f>IF(#REF!=0,0,AF27/#REF!*100)</f>
        <v>#REF!</v>
      </c>
      <c r="AN27" s="44">
        <f t="shared" si="12"/>
        <v>-48520.260000000009</v>
      </c>
      <c r="AO27" s="44">
        <f t="shared" si="13"/>
        <v>52.120005648467007</v>
      </c>
      <c r="AP27" s="12">
        <f t="shared" si="14"/>
        <v>-27279.699999999997</v>
      </c>
      <c r="AQ27" s="44">
        <f t="shared" si="36"/>
        <v>65.941530403199039</v>
      </c>
      <c r="AR27" s="12">
        <f>AF27-M27</f>
        <v>-280908.87</v>
      </c>
      <c r="AS27" s="12">
        <f>IF(M27=0,0,AF27/M27*100)</f>
        <v>15.826455032669928</v>
      </c>
      <c r="AT27" s="31">
        <f>AF27</f>
        <v>52816.97</v>
      </c>
    </row>
    <row r="28" spans="1:46" s="5" customFormat="1" ht="93.75" hidden="1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84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f>464296+525355.62</f>
        <v>989651.62</v>
      </c>
      <c r="T28" s="13">
        <v>1733380.9700000002</v>
      </c>
      <c r="U28" s="16">
        <f>T28</f>
        <v>1733380.9700000002</v>
      </c>
      <c r="V28" s="16">
        <f>52014.17+28082.5</f>
        <v>80096.67</v>
      </c>
      <c r="W28" s="16"/>
      <c r="X28" s="16"/>
      <c r="Y28" s="16">
        <f>V28</f>
        <v>80096.67</v>
      </c>
      <c r="Z28" s="16">
        <v>100490</v>
      </c>
      <c r="AA28" s="16">
        <f>109952.06+439880.2</f>
        <v>549832.26</v>
      </c>
      <c r="AB28" s="16">
        <f>35737.79+65599.44</f>
        <v>101337.23000000001</v>
      </c>
      <c r="AC28" s="13">
        <v>12355</v>
      </c>
      <c r="AD28" s="13">
        <v>40461.97</v>
      </c>
      <c r="AE28" s="13">
        <v>12355</v>
      </c>
      <c r="AF28" s="13">
        <f t="shared" si="24"/>
        <v>52816.97</v>
      </c>
      <c r="AG28" s="13">
        <f>AD28-AC28</f>
        <v>28106.97</v>
      </c>
      <c r="AH28" s="44">
        <f t="shared" si="4"/>
        <v>-47673.03</v>
      </c>
      <c r="AI28" s="44">
        <f t="shared" si="5"/>
        <v>52.559428798885463</v>
      </c>
      <c r="AJ28" s="13">
        <f t="shared" si="11"/>
        <v>-497015.29000000004</v>
      </c>
      <c r="AK28" s="42">
        <f t="shared" si="19"/>
        <v>9.6060151145005559</v>
      </c>
      <c r="AL28" s="16"/>
      <c r="AM28" s="16"/>
      <c r="AN28" s="42">
        <f t="shared" si="12"/>
        <v>-48520.260000000009</v>
      </c>
      <c r="AO28" s="42">
        <f t="shared" si="13"/>
        <v>52.120005648467007</v>
      </c>
      <c r="AP28" s="13">
        <f t="shared" si="14"/>
        <v>-27279.699999999997</v>
      </c>
      <c r="AQ28" s="42">
        <f t="shared" si="36"/>
        <v>65.941530403199039</v>
      </c>
      <c r="AR28" s="12"/>
      <c r="AS28" s="12"/>
      <c r="AT28" s="31"/>
    </row>
    <row r="29" spans="1:46" s="10" customFormat="1" ht="48" hidden="1" customHeight="1" x14ac:dyDescent="0.3">
      <c r="A29" s="9"/>
      <c r="B29" s="118" t="s">
        <v>16</v>
      </c>
      <c r="C29" s="118"/>
      <c r="D29" s="118"/>
      <c r="E29" s="118"/>
      <c r="F29" s="118"/>
      <c r="G29" s="118"/>
      <c r="H29" s="118"/>
      <c r="I29" s="118"/>
      <c r="J29" s="12">
        <f t="shared" ref="J29:AB29" si="54">J30</f>
        <v>13500</v>
      </c>
      <c r="K29" s="12">
        <f t="shared" si="54"/>
        <v>13500</v>
      </c>
      <c r="L29" s="12">
        <f t="shared" si="54"/>
        <v>13500</v>
      </c>
      <c r="M29" s="12">
        <f t="shared" si="54"/>
        <v>13500</v>
      </c>
      <c r="N29" s="12">
        <f t="shared" si="54"/>
        <v>145882.54999999999</v>
      </c>
      <c r="O29" s="12">
        <f t="shared" si="54"/>
        <v>145882.54999999999</v>
      </c>
      <c r="P29" s="12">
        <f t="shared" si="54"/>
        <v>145882.54999999999</v>
      </c>
      <c r="Q29" s="12">
        <v>145882.54999999999</v>
      </c>
      <c r="R29" s="12">
        <f t="shared" si="54"/>
        <v>145882.54999999999</v>
      </c>
      <c r="S29" s="12">
        <f t="shared" si="54"/>
        <v>65907.5</v>
      </c>
      <c r="T29" s="12">
        <f t="shared" si="54"/>
        <v>65907.5</v>
      </c>
      <c r="U29" s="12">
        <f>U30</f>
        <v>65907.5</v>
      </c>
      <c r="V29" s="12">
        <f t="shared" ref="V29:X29" si="55">V30</f>
        <v>0</v>
      </c>
      <c r="W29" s="12"/>
      <c r="X29" s="12">
        <f t="shared" si="55"/>
        <v>0</v>
      </c>
      <c r="Y29" s="12">
        <f>Y30</f>
        <v>0</v>
      </c>
      <c r="Z29" s="12">
        <f t="shared" si="54"/>
        <v>0</v>
      </c>
      <c r="AA29" s="12">
        <f t="shared" si="54"/>
        <v>60000</v>
      </c>
      <c r="AB29" s="12">
        <f t="shared" si="54"/>
        <v>0</v>
      </c>
      <c r="AC29" s="12">
        <f>AC30</f>
        <v>0</v>
      </c>
      <c r="AD29" s="12">
        <f>AD30</f>
        <v>0</v>
      </c>
      <c r="AE29" s="12">
        <v>0</v>
      </c>
      <c r="AF29" s="12">
        <f>AF30</f>
        <v>0</v>
      </c>
      <c r="AG29" s="12">
        <f t="shared" si="10"/>
        <v>0</v>
      </c>
      <c r="AH29" s="44">
        <f t="shared" si="4"/>
        <v>0</v>
      </c>
      <c r="AI29" s="44">
        <v>0</v>
      </c>
      <c r="AJ29" s="12">
        <f t="shared" si="11"/>
        <v>-60000</v>
      </c>
      <c r="AK29" s="44">
        <f t="shared" si="19"/>
        <v>0</v>
      </c>
      <c r="AL29" s="12" t="e">
        <f>AF29-#REF!</f>
        <v>#REF!</v>
      </c>
      <c r="AM29" s="12" t="e">
        <f>IF(#REF!=0,0,AF29/#REF!*100)</f>
        <v>#REF!</v>
      </c>
      <c r="AN29" s="44">
        <f t="shared" si="12"/>
        <v>0</v>
      </c>
      <c r="AO29" s="44">
        <v>0</v>
      </c>
      <c r="AP29" s="12">
        <f t="shared" si="14"/>
        <v>0</v>
      </c>
      <c r="AQ29" s="44">
        <v>100</v>
      </c>
      <c r="AR29" s="12">
        <f t="shared" ref="AR29:AR38" si="56">AF29-M29</f>
        <v>-13500</v>
      </c>
      <c r="AS29" s="12">
        <f t="shared" ref="AS29:AS38" si="57">IF(M29=0,0,AF29/M29*100)</f>
        <v>0</v>
      </c>
      <c r="AT29" s="34">
        <f t="shared" ref="AT29" si="58">AT30</f>
        <v>0</v>
      </c>
    </row>
    <row r="30" spans="1:46" s="5" customFormat="1" ht="84.75" hidden="1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65907.5</v>
      </c>
      <c r="T30" s="13">
        <v>65907.5</v>
      </c>
      <c r="U30" s="13">
        <f>T30</f>
        <v>65907.5</v>
      </c>
      <c r="V30" s="13">
        <v>0</v>
      </c>
      <c r="W30" s="13"/>
      <c r="X30" s="13"/>
      <c r="Y30" s="13">
        <f>V30</f>
        <v>0</v>
      </c>
      <c r="Z30" s="13">
        <v>0</v>
      </c>
      <c r="AA30" s="13">
        <v>60000</v>
      </c>
      <c r="AB30" s="13">
        <v>0</v>
      </c>
      <c r="AC30" s="13">
        <v>0</v>
      </c>
      <c r="AD30" s="13">
        <v>0</v>
      </c>
      <c r="AE30" s="13">
        <v>0</v>
      </c>
      <c r="AF30" s="13">
        <f t="shared" si="24"/>
        <v>0</v>
      </c>
      <c r="AG30" s="13">
        <f t="shared" si="10"/>
        <v>0</v>
      </c>
      <c r="AH30" s="44">
        <f t="shared" si="4"/>
        <v>0</v>
      </c>
      <c r="AI30" s="44">
        <v>0</v>
      </c>
      <c r="AJ30" s="13">
        <f t="shared" si="11"/>
        <v>-60000</v>
      </c>
      <c r="AK30" s="42">
        <f t="shared" si="19"/>
        <v>0</v>
      </c>
      <c r="AL30" s="13" t="e">
        <f>AF30-#REF!</f>
        <v>#REF!</v>
      </c>
      <c r="AM30" s="13" t="e">
        <f>IF(#REF!=0,0,AF30/#REF!*100)</f>
        <v>#REF!</v>
      </c>
      <c r="AN30" s="42">
        <f t="shared" si="12"/>
        <v>0</v>
      </c>
      <c r="AO30" s="42">
        <v>0</v>
      </c>
      <c r="AP30" s="13">
        <f t="shared" si="14"/>
        <v>0</v>
      </c>
      <c r="AQ30" s="42">
        <v>0</v>
      </c>
      <c r="AR30" s="12">
        <f t="shared" si="56"/>
        <v>-13500</v>
      </c>
      <c r="AS30" s="12">
        <f t="shared" si="57"/>
        <v>0</v>
      </c>
      <c r="AT30" s="31">
        <f>AF30</f>
        <v>0</v>
      </c>
    </row>
    <row r="31" spans="1:46" s="10" customFormat="1" ht="58.5" hidden="1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76</v>
      </c>
      <c r="J31" s="12">
        <f t="shared" ref="J31:R31" si="59">J35</f>
        <v>59624.2</v>
      </c>
      <c r="K31" s="12">
        <f t="shared" si="59"/>
        <v>59624.2</v>
      </c>
      <c r="L31" s="12">
        <f t="shared" si="59"/>
        <v>23095.54</v>
      </c>
      <c r="M31" s="12">
        <f t="shared" si="59"/>
        <v>23095.54</v>
      </c>
      <c r="N31" s="12">
        <f t="shared" si="59"/>
        <v>33317.79</v>
      </c>
      <c r="O31" s="12">
        <f t="shared" si="59"/>
        <v>67233.87</v>
      </c>
      <c r="P31" s="12">
        <f t="shared" si="59"/>
        <v>67233.87</v>
      </c>
      <c r="Q31" s="12">
        <v>67233.87</v>
      </c>
      <c r="R31" s="12">
        <f t="shared" si="59"/>
        <v>67233.87</v>
      </c>
      <c r="S31" s="12">
        <f t="shared" ref="S31:T31" si="60">S32+S33+S34+S35</f>
        <v>1027310</v>
      </c>
      <c r="T31" s="12">
        <f t="shared" si="60"/>
        <v>1126867.72</v>
      </c>
      <c r="U31" s="12">
        <f>U32+U33+U34+U35</f>
        <v>1126867.72</v>
      </c>
      <c r="V31" s="12">
        <f t="shared" ref="V31:Y31" si="61">V32+V33+V34+V35</f>
        <v>9325.7900000000009</v>
      </c>
      <c r="W31" s="12">
        <f t="shared" si="61"/>
        <v>0</v>
      </c>
      <c r="X31" s="12">
        <f t="shared" si="61"/>
        <v>0</v>
      </c>
      <c r="Y31" s="12">
        <f t="shared" si="61"/>
        <v>9325.7900000000009</v>
      </c>
      <c r="Z31" s="12">
        <f>Z32+Z33+Z34+Z35</f>
        <v>48000</v>
      </c>
      <c r="AA31" s="12">
        <f t="shared" ref="AA31" si="62">AA32+AA33+AA34+AA35</f>
        <v>723990</v>
      </c>
      <c r="AB31" s="12">
        <f t="shared" ref="AB31:AD31" si="63">AB32+AB33+AB34+AB35</f>
        <v>21229.16</v>
      </c>
      <c r="AC31" s="12">
        <f t="shared" ref="AC31" si="64">AC32+AC33+AC34+AC35</f>
        <v>18381</v>
      </c>
      <c r="AD31" s="12">
        <f t="shared" si="63"/>
        <v>0</v>
      </c>
      <c r="AE31" s="12">
        <v>18381</v>
      </c>
      <c r="AF31" s="12">
        <f t="shared" ref="AF31" si="65">AF32+AF33+AF34+AF35</f>
        <v>18381</v>
      </c>
      <c r="AG31" s="12">
        <f t="shared" si="10"/>
        <v>-18381</v>
      </c>
      <c r="AH31" s="44">
        <f t="shared" si="4"/>
        <v>-29619</v>
      </c>
      <c r="AI31" s="44">
        <v>0</v>
      </c>
      <c r="AJ31" s="12">
        <f t="shared" si="11"/>
        <v>-705609</v>
      </c>
      <c r="AK31" s="44">
        <f t="shared" si="19"/>
        <v>2.5388472216467082</v>
      </c>
      <c r="AL31" s="12" t="e">
        <f>AF31-#REF!</f>
        <v>#REF!</v>
      </c>
      <c r="AM31" s="12" t="e">
        <f>IF(#REF!=0,0,AF31/#REF!*100)</f>
        <v>#REF!</v>
      </c>
      <c r="AN31" s="44">
        <f t="shared" si="12"/>
        <v>-2848.16</v>
      </c>
      <c r="AO31" s="44">
        <f t="shared" si="13"/>
        <v>86.583736709318686</v>
      </c>
      <c r="AP31" s="12">
        <f t="shared" si="14"/>
        <v>9055.2099999999991</v>
      </c>
      <c r="AQ31" s="44">
        <f t="shared" si="36"/>
        <v>197.0985836052495</v>
      </c>
      <c r="AR31" s="12">
        <f t="shared" si="56"/>
        <v>-4714.5400000000009</v>
      </c>
      <c r="AS31" s="12">
        <f t="shared" si="57"/>
        <v>79.586794679838619</v>
      </c>
      <c r="AT31" s="34">
        <f t="shared" ref="AT31" si="66">AT35</f>
        <v>0</v>
      </c>
    </row>
    <row r="32" spans="1:46" s="10" customFormat="1" ht="58.5" hidden="1" customHeight="1" x14ac:dyDescent="0.3">
      <c r="A32" s="9"/>
      <c r="B32" s="39"/>
      <c r="C32" s="39"/>
      <c r="D32" s="39"/>
      <c r="E32" s="39"/>
      <c r="F32" s="39"/>
      <c r="G32" s="11"/>
      <c r="H32" s="11"/>
      <c r="I32" s="109" t="s">
        <v>85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916946.49</v>
      </c>
      <c r="T32" s="13">
        <v>980560.5</v>
      </c>
      <c r="U32" s="13">
        <f>T32</f>
        <v>980560.5</v>
      </c>
      <c r="V32" s="13">
        <v>8035.79</v>
      </c>
      <c r="W32" s="13"/>
      <c r="X32" s="13"/>
      <c r="Y32" s="13">
        <f>V32</f>
        <v>8035.79</v>
      </c>
      <c r="Z32" s="13"/>
      <c r="AA32" s="13">
        <v>649240</v>
      </c>
      <c r="AB32" s="13">
        <v>15000</v>
      </c>
      <c r="AC32" s="110">
        <v>0</v>
      </c>
      <c r="AD32" s="110">
        <v>0</v>
      </c>
      <c r="AE32" s="13">
        <v>0</v>
      </c>
      <c r="AF32" s="13">
        <f t="shared" si="24"/>
        <v>0</v>
      </c>
      <c r="AG32" s="12"/>
      <c r="AH32" s="44"/>
      <c r="AI32" s="44"/>
      <c r="AJ32" s="13">
        <f t="shared" si="11"/>
        <v>-649240</v>
      </c>
      <c r="AK32" s="42">
        <f t="shared" si="19"/>
        <v>0</v>
      </c>
      <c r="AL32" s="12"/>
      <c r="AM32" s="12"/>
      <c r="AN32" s="42">
        <f t="shared" si="12"/>
        <v>-15000</v>
      </c>
      <c r="AO32" s="42">
        <f t="shared" si="13"/>
        <v>0</v>
      </c>
      <c r="AP32" s="13">
        <f t="shared" si="14"/>
        <v>-8035.79</v>
      </c>
      <c r="AQ32" s="42">
        <f t="shared" si="36"/>
        <v>0</v>
      </c>
      <c r="AR32" s="12"/>
      <c r="AS32" s="12"/>
      <c r="AT32" s="34"/>
    </row>
    <row r="33" spans="1:46" s="10" customFormat="1" ht="58.5" hidden="1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86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10004.33</v>
      </c>
      <c r="T33" s="13">
        <v>15475.55</v>
      </c>
      <c r="U33" s="13">
        <f>T33</f>
        <v>15475.55</v>
      </c>
      <c r="V33" s="13">
        <v>990</v>
      </c>
      <c r="W33" s="13"/>
      <c r="X33" s="13"/>
      <c r="Y33" s="13">
        <f t="shared" ref="Y33:Y35" si="67">V33</f>
        <v>990</v>
      </c>
      <c r="Z33" s="13"/>
      <c r="AA33" s="13">
        <v>74750</v>
      </c>
      <c r="AB33" s="13">
        <v>0</v>
      </c>
      <c r="AC33" s="110">
        <v>0</v>
      </c>
      <c r="AD33" s="110">
        <v>0</v>
      </c>
      <c r="AE33" s="13">
        <v>0</v>
      </c>
      <c r="AF33" s="13">
        <f t="shared" si="24"/>
        <v>0</v>
      </c>
      <c r="AG33" s="12"/>
      <c r="AH33" s="44"/>
      <c r="AI33" s="44"/>
      <c r="AJ33" s="13">
        <f t="shared" si="11"/>
        <v>-74750</v>
      </c>
      <c r="AK33" s="42">
        <f t="shared" si="19"/>
        <v>0</v>
      </c>
      <c r="AL33" s="12"/>
      <c r="AM33" s="12"/>
      <c r="AN33" s="42">
        <f t="shared" si="12"/>
        <v>0</v>
      </c>
      <c r="AO33" s="42">
        <v>0</v>
      </c>
      <c r="AP33" s="13">
        <f t="shared" si="14"/>
        <v>-990</v>
      </c>
      <c r="AQ33" s="42">
        <f t="shared" si="36"/>
        <v>0</v>
      </c>
      <c r="AR33" s="12"/>
      <c r="AS33" s="12"/>
      <c r="AT33" s="34"/>
    </row>
    <row r="34" spans="1:46" s="10" customFormat="1" ht="58.5" hidden="1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87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22437.84</v>
      </c>
      <c r="U34" s="13">
        <f>T34</f>
        <v>22437.84</v>
      </c>
      <c r="V34" s="13">
        <v>0</v>
      </c>
      <c r="W34" s="13"/>
      <c r="X34" s="13"/>
      <c r="Y34" s="13">
        <f t="shared" si="67"/>
        <v>0</v>
      </c>
      <c r="Z34" s="13"/>
      <c r="AA34" s="13">
        <v>0</v>
      </c>
      <c r="AB34" s="13">
        <v>6229.16</v>
      </c>
      <c r="AC34" s="110">
        <v>18381</v>
      </c>
      <c r="AD34" s="110">
        <v>0</v>
      </c>
      <c r="AE34" s="13">
        <v>18381</v>
      </c>
      <c r="AF34" s="13">
        <f t="shared" si="24"/>
        <v>18381</v>
      </c>
      <c r="AG34" s="12"/>
      <c r="AH34" s="44"/>
      <c r="AI34" s="44"/>
      <c r="AJ34" s="13">
        <f t="shared" si="11"/>
        <v>18381</v>
      </c>
      <c r="AK34" s="42">
        <v>0</v>
      </c>
      <c r="AL34" s="12"/>
      <c r="AM34" s="12"/>
      <c r="AN34" s="42">
        <f t="shared" si="12"/>
        <v>12151.84</v>
      </c>
      <c r="AO34" s="42">
        <f t="shared" si="13"/>
        <v>295.07991446679813</v>
      </c>
      <c r="AP34" s="13">
        <f t="shared" si="14"/>
        <v>18381</v>
      </c>
      <c r="AQ34" s="42">
        <v>0</v>
      </c>
      <c r="AR34" s="12"/>
      <c r="AS34" s="12"/>
      <c r="AT34" s="34"/>
    </row>
    <row r="35" spans="1:46" s="5" customFormat="1" ht="58.5" hidden="1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88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100359.18</v>
      </c>
      <c r="T35" s="13">
        <v>108393.82999999999</v>
      </c>
      <c r="U35" s="13">
        <f>T35</f>
        <v>108393.82999999999</v>
      </c>
      <c r="V35" s="13">
        <v>300</v>
      </c>
      <c r="W35" s="13"/>
      <c r="X35" s="13"/>
      <c r="Y35" s="13">
        <f t="shared" si="67"/>
        <v>300</v>
      </c>
      <c r="Z35" s="13">
        <v>48000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f t="shared" si="24"/>
        <v>0</v>
      </c>
      <c r="AG35" s="13">
        <f t="shared" si="10"/>
        <v>0</v>
      </c>
      <c r="AH35" s="44">
        <f t="shared" si="4"/>
        <v>-48000</v>
      </c>
      <c r="AI35" s="44">
        <v>0</v>
      </c>
      <c r="AJ35" s="13">
        <f t="shared" si="11"/>
        <v>0</v>
      </c>
      <c r="AK35" s="42">
        <v>0</v>
      </c>
      <c r="AL35" s="13" t="e">
        <f>AF35-#REF!</f>
        <v>#REF!</v>
      </c>
      <c r="AM35" s="13" t="e">
        <f>IF(#REF!=0,0,AF35/#REF!*100)</f>
        <v>#REF!</v>
      </c>
      <c r="AN35" s="42">
        <f t="shared" si="12"/>
        <v>0</v>
      </c>
      <c r="AO35" s="42">
        <v>0</v>
      </c>
      <c r="AP35" s="13">
        <f t="shared" si="14"/>
        <v>-300</v>
      </c>
      <c r="AQ35" s="42">
        <f t="shared" si="36"/>
        <v>0</v>
      </c>
      <c r="AR35" s="12">
        <f t="shared" si="56"/>
        <v>-23095.54</v>
      </c>
      <c r="AS35" s="12">
        <f t="shared" si="57"/>
        <v>0</v>
      </c>
      <c r="AT35" s="31">
        <f>AF35</f>
        <v>0</v>
      </c>
    </row>
    <row r="36" spans="1:46" s="10" customFormat="1" ht="40.5" hidden="1" customHeight="1" x14ac:dyDescent="0.3">
      <c r="A36" s="9"/>
      <c r="B36" s="115" t="s">
        <v>14</v>
      </c>
      <c r="C36" s="115"/>
      <c r="D36" s="115"/>
      <c r="E36" s="115"/>
      <c r="F36" s="115"/>
      <c r="G36" s="115"/>
      <c r="H36" s="115"/>
      <c r="I36" s="115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532438.67000000004</v>
      </c>
      <c r="T36" s="12">
        <v>532688.29</v>
      </c>
      <c r="U36" s="12">
        <f>T36</f>
        <v>532688.29</v>
      </c>
      <c r="V36" s="12">
        <v>2584.2600000000002</v>
      </c>
      <c r="W36" s="12"/>
      <c r="X36" s="12"/>
      <c r="Y36" s="12">
        <f>V36</f>
        <v>2584.2600000000002</v>
      </c>
      <c r="Z36" s="12">
        <v>763440</v>
      </c>
      <c r="AA36" s="12">
        <v>447000</v>
      </c>
      <c r="AB36" s="12">
        <v>600</v>
      </c>
      <c r="AC36" s="12">
        <v>0.73</v>
      </c>
      <c r="AD36" s="12">
        <v>157751.87</v>
      </c>
      <c r="AE36" s="12">
        <v>0.73</v>
      </c>
      <c r="AF36" s="12">
        <f t="shared" si="24"/>
        <v>157752.6</v>
      </c>
      <c r="AG36" s="12">
        <f t="shared" si="10"/>
        <v>157751.13999999998</v>
      </c>
      <c r="AH36" s="44">
        <f t="shared" si="4"/>
        <v>-605687.4</v>
      </c>
      <c r="AI36" s="44">
        <v>0</v>
      </c>
      <c r="AJ36" s="12">
        <f t="shared" si="11"/>
        <v>-289247.40000000002</v>
      </c>
      <c r="AK36" s="44">
        <f t="shared" si="19"/>
        <v>35.291409395973155</v>
      </c>
      <c r="AL36" s="12" t="e">
        <f>AF36-#REF!</f>
        <v>#REF!</v>
      </c>
      <c r="AM36" s="12" t="e">
        <f>IF(#REF!=0,0,AF36/#REF!*100)</f>
        <v>#REF!</v>
      </c>
      <c r="AN36" s="44">
        <f t="shared" si="12"/>
        <v>157152.6</v>
      </c>
      <c r="AO36" s="44">
        <f t="shared" si="13"/>
        <v>26292.1</v>
      </c>
      <c r="AP36" s="12">
        <f t="shared" si="14"/>
        <v>155168.34</v>
      </c>
      <c r="AQ36" s="44">
        <f t="shared" si="36"/>
        <v>6104.3625641382832</v>
      </c>
      <c r="AR36" s="12">
        <f t="shared" si="56"/>
        <v>215526.96000000002</v>
      </c>
      <c r="AS36" s="12">
        <f t="shared" si="57"/>
        <v>-273.04949808184807</v>
      </c>
      <c r="AT36" s="34">
        <v>745000</v>
      </c>
    </row>
    <row r="37" spans="1:46" s="10" customFormat="1" ht="57.75" hidden="1" customHeight="1" x14ac:dyDescent="0.3">
      <c r="A37" s="9"/>
      <c r="B37" s="115" t="s">
        <v>13</v>
      </c>
      <c r="C37" s="115"/>
      <c r="D37" s="115"/>
      <c r="E37" s="115"/>
      <c r="F37" s="115"/>
      <c r="G37" s="115"/>
      <c r="H37" s="115"/>
      <c r="I37" s="115"/>
      <c r="J37" s="12">
        <f t="shared" ref="J37:N37" si="68">J38+J44</f>
        <v>26875602.490000002</v>
      </c>
      <c r="K37" s="12">
        <f t="shared" si="68"/>
        <v>26875602.490000002</v>
      </c>
      <c r="L37" s="12">
        <f t="shared" si="68"/>
        <v>10496131.460000001</v>
      </c>
      <c r="M37" s="12">
        <f t="shared" si="68"/>
        <v>10496131.460000001</v>
      </c>
      <c r="N37" s="12">
        <f t="shared" si="68"/>
        <v>29133952.98</v>
      </c>
      <c r="O37" s="12">
        <f>O38+O44</f>
        <v>30359839.810000002</v>
      </c>
      <c r="P37" s="12">
        <f t="shared" ref="P37" si="69">P38+P44</f>
        <v>30359839.810000002</v>
      </c>
      <c r="Q37" s="12">
        <v>30359839.810000002</v>
      </c>
      <c r="R37" s="12">
        <f>R38+R44</f>
        <v>30359839.810000002</v>
      </c>
      <c r="S37" s="12">
        <f>S38+S44</f>
        <v>34717210.640000001</v>
      </c>
      <c r="T37" s="12">
        <f>T38+T44</f>
        <v>35682421.269999996</v>
      </c>
      <c r="U37" s="12">
        <f t="shared" ref="U37:Y37" si="70">U38+U44</f>
        <v>34239492.269999996</v>
      </c>
      <c r="V37" s="12">
        <f t="shared" si="70"/>
        <v>1789798.21</v>
      </c>
      <c r="W37" s="12"/>
      <c r="X37" s="12">
        <f t="shared" si="70"/>
        <v>0</v>
      </c>
      <c r="Y37" s="12">
        <f t="shared" si="70"/>
        <v>1789798.21</v>
      </c>
      <c r="Z37" s="12">
        <f>Z38+Z44</f>
        <v>25090600</v>
      </c>
      <c r="AA37" s="12">
        <f>AA38+AA44</f>
        <v>29480458</v>
      </c>
      <c r="AB37" s="12">
        <f>AB38+AB44</f>
        <v>1431665.02</v>
      </c>
      <c r="AC37" s="12">
        <f t="shared" ref="AC37:AD37" si="71">AC38+AC44</f>
        <v>1</v>
      </c>
      <c r="AD37" s="12">
        <f t="shared" si="71"/>
        <v>216814.16999999998</v>
      </c>
      <c r="AE37" s="12">
        <v>1</v>
      </c>
      <c r="AF37" s="12">
        <f>AF38+AF44</f>
        <v>216815.16999999998</v>
      </c>
      <c r="AG37" s="12">
        <f t="shared" si="10"/>
        <v>216813.16999999998</v>
      </c>
      <c r="AH37" s="44">
        <f t="shared" si="4"/>
        <v>-24873784.829999998</v>
      </c>
      <c r="AI37" s="44">
        <v>0</v>
      </c>
      <c r="AJ37" s="12">
        <f t="shared" si="11"/>
        <v>-29263642.829999998</v>
      </c>
      <c r="AK37" s="44">
        <f t="shared" si="19"/>
        <v>0.73545387252803185</v>
      </c>
      <c r="AL37" s="12" t="e">
        <f>AF37-#REF!</f>
        <v>#REF!</v>
      </c>
      <c r="AM37" s="12" t="e">
        <f>IF(#REF!=0,0,AF37/#REF!*100)</f>
        <v>#REF!</v>
      </c>
      <c r="AN37" s="44">
        <f t="shared" si="12"/>
        <v>-1214849.8500000001</v>
      </c>
      <c r="AO37" s="44">
        <f t="shared" si="13"/>
        <v>15.144266778271916</v>
      </c>
      <c r="AP37" s="12">
        <f t="shared" si="14"/>
        <v>-1572983.04</v>
      </c>
      <c r="AQ37" s="44">
        <f t="shared" si="36"/>
        <v>12.113944956956907</v>
      </c>
      <c r="AR37" s="12">
        <f t="shared" si="56"/>
        <v>-10279316.290000001</v>
      </c>
      <c r="AS37" s="12">
        <f t="shared" si="57"/>
        <v>2.0656674397254546</v>
      </c>
      <c r="AT37" s="34">
        <f t="shared" ref="AT37" si="72">AT38+AT44</f>
        <v>216815.16999999998</v>
      </c>
    </row>
    <row r="38" spans="1:46" s="5" customFormat="1" ht="39" hidden="1" customHeight="1" x14ac:dyDescent="0.3">
      <c r="A38" s="4"/>
      <c r="B38" s="114" t="s">
        <v>60</v>
      </c>
      <c r="C38" s="114"/>
      <c r="D38" s="114"/>
      <c r="E38" s="114"/>
      <c r="F38" s="114"/>
      <c r="G38" s="114"/>
      <c r="H38" s="114"/>
      <c r="I38" s="114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73">S39+S40+S43+S41+S42</f>
        <v>34618925.310000002</v>
      </c>
      <c r="T38" s="13">
        <f t="shared" si="73"/>
        <v>35367638.399999999</v>
      </c>
      <c r="U38" s="13">
        <f>U39+U40+U43</f>
        <v>33924709.399999999</v>
      </c>
      <c r="V38" s="13">
        <f t="shared" ref="V38:AB38" si="74">V39+V40+V43+V41+V42</f>
        <v>1763416.19</v>
      </c>
      <c r="W38" s="13"/>
      <c r="X38" s="13">
        <f t="shared" si="74"/>
        <v>0</v>
      </c>
      <c r="Y38" s="13">
        <f t="shared" si="74"/>
        <v>1763416.19</v>
      </c>
      <c r="Z38" s="13">
        <f t="shared" si="74"/>
        <v>25090600</v>
      </c>
      <c r="AA38" s="13">
        <f t="shared" si="74"/>
        <v>29480458</v>
      </c>
      <c r="AB38" s="13">
        <f t="shared" si="74"/>
        <v>1431665.02</v>
      </c>
      <c r="AC38" s="13">
        <f t="shared" ref="AC38:AD38" si="75">AC39+AC40+AC43+AC41+AC42</f>
        <v>1</v>
      </c>
      <c r="AD38" s="13">
        <f t="shared" si="75"/>
        <v>216795.71</v>
      </c>
      <c r="AE38" s="13">
        <v>1</v>
      </c>
      <c r="AF38" s="13">
        <f>AF39+AF40+AF43+AF41+AF42</f>
        <v>216796.71</v>
      </c>
      <c r="AG38" s="13">
        <f t="shared" si="10"/>
        <v>216794.71</v>
      </c>
      <c r="AH38" s="44">
        <f t="shared" si="4"/>
        <v>-24873803.289999999</v>
      </c>
      <c r="AI38" s="44">
        <v>0</v>
      </c>
      <c r="AJ38" s="12">
        <f t="shared" si="11"/>
        <v>-29263661.289999999</v>
      </c>
      <c r="AK38" s="42">
        <f t="shared" si="19"/>
        <v>0.73539125477629952</v>
      </c>
      <c r="AL38" s="13" t="e">
        <f>AF38-#REF!</f>
        <v>#REF!</v>
      </c>
      <c r="AM38" s="13" t="e">
        <f>IF(#REF!=0,0,AF38/#REF!*100)</f>
        <v>#REF!</v>
      </c>
      <c r="AN38" s="42">
        <f t="shared" si="12"/>
        <v>-1214868.31</v>
      </c>
      <c r="AO38" s="42">
        <f t="shared" si="13"/>
        <v>15.142977370502491</v>
      </c>
      <c r="AP38" s="13">
        <f t="shared" si="14"/>
        <v>-1546619.48</v>
      </c>
      <c r="AQ38" s="42">
        <f t="shared" si="36"/>
        <v>12.294131767044739</v>
      </c>
      <c r="AR38" s="12">
        <f t="shared" si="56"/>
        <v>-9654887.2699999996</v>
      </c>
      <c r="AS38" s="12">
        <f t="shared" si="57"/>
        <v>2.196147186632285</v>
      </c>
      <c r="AT38" s="31">
        <f>AF38</f>
        <v>216796.71</v>
      </c>
    </row>
    <row r="39" spans="1:46" s="5" customFormat="1" ht="39" hidden="1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89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360000</v>
      </c>
      <c r="T39" s="31">
        <v>637963.88</v>
      </c>
      <c r="U39" s="31">
        <f>T39</f>
        <v>637963.88</v>
      </c>
      <c r="V39" s="31">
        <v>31864.75</v>
      </c>
      <c r="W39" s="31"/>
      <c r="X39" s="31"/>
      <c r="Y39" s="31">
        <f>V39</f>
        <v>31864.75</v>
      </c>
      <c r="Z39" s="31">
        <v>360000</v>
      </c>
      <c r="AA39" s="31">
        <v>380458</v>
      </c>
      <c r="AB39" s="31">
        <v>12000</v>
      </c>
      <c r="AC39" s="31">
        <v>1</v>
      </c>
      <c r="AD39" s="31">
        <v>6700</v>
      </c>
      <c r="AE39" s="31">
        <v>1</v>
      </c>
      <c r="AF39" s="31">
        <f t="shared" si="24"/>
        <v>6701</v>
      </c>
      <c r="AG39" s="31">
        <f t="shared" si="10"/>
        <v>6699</v>
      </c>
      <c r="AH39" s="101">
        <f t="shared" si="4"/>
        <v>-353299</v>
      </c>
      <c r="AI39" s="101">
        <f>AF39/Z39*100</f>
        <v>1.8613888888888888</v>
      </c>
      <c r="AJ39" s="31">
        <f t="shared" si="11"/>
        <v>-373757</v>
      </c>
      <c r="AK39" s="101">
        <f t="shared" si="19"/>
        <v>1.7612982247711968</v>
      </c>
      <c r="AL39" s="31"/>
      <c r="AM39" s="31"/>
      <c r="AN39" s="101">
        <f t="shared" si="12"/>
        <v>-5299</v>
      </c>
      <c r="AO39" s="101">
        <f t="shared" si="13"/>
        <v>55.841666666666669</v>
      </c>
      <c r="AP39" s="31">
        <f t="shared" si="14"/>
        <v>-25163.75</v>
      </c>
      <c r="AQ39" s="101">
        <f t="shared" si="36"/>
        <v>21.029507527910937</v>
      </c>
      <c r="AR39" s="12"/>
      <c r="AS39" s="12"/>
      <c r="AT39" s="31"/>
    </row>
    <row r="40" spans="1:46" s="5" customFormat="1" ht="39" hidden="1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90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76">O40</f>
        <v>29449023.050000001</v>
      </c>
      <c r="Q40" s="31">
        <v>29449023.050000001</v>
      </c>
      <c r="R40" s="31">
        <f>Q40</f>
        <v>29449023.050000001</v>
      </c>
      <c r="S40" s="31">
        <f>30628925.31+2030000</f>
        <v>32658925.309999999</v>
      </c>
      <c r="T40" s="31">
        <v>33218079.799999997</v>
      </c>
      <c r="U40" s="31">
        <f t="shared" ref="U40:U43" si="77">T40</f>
        <v>33218079.799999997</v>
      </c>
      <c r="V40" s="31">
        <v>1730651.44</v>
      </c>
      <c r="W40" s="31"/>
      <c r="X40" s="31"/>
      <c r="Y40" s="31">
        <f>V40</f>
        <v>1730651.44</v>
      </c>
      <c r="Z40" s="31">
        <v>22830600</v>
      </c>
      <c r="AA40" s="31">
        <v>27500000</v>
      </c>
      <c r="AB40" s="31">
        <v>1337800</v>
      </c>
      <c r="AC40" s="31">
        <v>0</v>
      </c>
      <c r="AD40" s="31">
        <v>147185.71</v>
      </c>
      <c r="AE40" s="31">
        <v>0</v>
      </c>
      <c r="AF40" s="31">
        <f t="shared" si="24"/>
        <v>147185.71</v>
      </c>
      <c r="AG40" s="31">
        <f t="shared" si="10"/>
        <v>147185.71</v>
      </c>
      <c r="AH40" s="101">
        <f t="shared" si="4"/>
        <v>-22683414.289999999</v>
      </c>
      <c r="AI40" s="101">
        <f>AF40/Z40*100</f>
        <v>0.64468612301034567</v>
      </c>
      <c r="AJ40" s="31">
        <f t="shared" si="11"/>
        <v>-27352814.289999999</v>
      </c>
      <c r="AK40" s="101">
        <f t="shared" si="19"/>
        <v>0.53522076363636362</v>
      </c>
      <c r="AL40" s="31"/>
      <c r="AM40" s="31"/>
      <c r="AN40" s="101">
        <f t="shared" si="12"/>
        <v>-1190614.29</v>
      </c>
      <c r="AO40" s="101">
        <f t="shared" si="13"/>
        <v>11.002071311107789</v>
      </c>
      <c r="AP40" s="31">
        <f t="shared" si="14"/>
        <v>-1583465.73</v>
      </c>
      <c r="AQ40" s="101">
        <f t="shared" si="36"/>
        <v>8.5046420439230666</v>
      </c>
      <c r="AR40" s="12"/>
      <c r="AS40" s="12"/>
      <c r="AT40" s="31"/>
    </row>
    <row r="41" spans="1:46" s="5" customFormat="1" ht="39" hidden="1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91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1400000</v>
      </c>
      <c r="T41" s="31">
        <v>1375129</v>
      </c>
      <c r="U41" s="31">
        <v>0</v>
      </c>
      <c r="V41" s="31">
        <v>0</v>
      </c>
      <c r="W41" s="31"/>
      <c r="X41" s="31"/>
      <c r="Y41" s="31">
        <f t="shared" ref="Y41:Y42" si="78">V41</f>
        <v>0</v>
      </c>
      <c r="Z41" s="31">
        <v>1400000</v>
      </c>
      <c r="AA41" s="31">
        <v>1400000</v>
      </c>
      <c r="AB41" s="31">
        <v>51865.02</v>
      </c>
      <c r="AC41" s="31">
        <v>0</v>
      </c>
      <c r="AD41" s="31">
        <v>62910</v>
      </c>
      <c r="AE41" s="31">
        <v>0</v>
      </c>
      <c r="AF41" s="31">
        <f t="shared" si="24"/>
        <v>62910</v>
      </c>
      <c r="AG41" s="31">
        <f t="shared" si="10"/>
        <v>62910</v>
      </c>
      <c r="AH41" s="101">
        <f t="shared" si="4"/>
        <v>-1337090</v>
      </c>
      <c r="AI41" s="101">
        <f t="shared" ref="AI41:AI42" si="79">AF41/Z41*100</f>
        <v>4.4935714285714283</v>
      </c>
      <c r="AJ41" s="31">
        <f t="shared" si="11"/>
        <v>-1337090</v>
      </c>
      <c r="AK41" s="101">
        <f t="shared" si="19"/>
        <v>4.4935714285714283</v>
      </c>
      <c r="AL41" s="31"/>
      <c r="AM41" s="31"/>
      <c r="AN41" s="101">
        <f t="shared" si="12"/>
        <v>11044.980000000003</v>
      </c>
      <c r="AO41" s="101">
        <f t="shared" si="13"/>
        <v>121.29562468114348</v>
      </c>
      <c r="AP41" s="31">
        <f t="shared" si="14"/>
        <v>62910</v>
      </c>
      <c r="AQ41" s="101">
        <v>0</v>
      </c>
      <c r="AR41" s="12"/>
      <c r="AS41" s="12"/>
      <c r="AT41" s="31"/>
    </row>
    <row r="42" spans="1:46" s="5" customFormat="1" ht="39" hidden="1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92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f>500000-300000</f>
        <v>200000</v>
      </c>
      <c r="T42" s="31">
        <v>67800</v>
      </c>
      <c r="U42" s="31">
        <v>0</v>
      </c>
      <c r="V42" s="31">
        <v>0</v>
      </c>
      <c r="W42" s="31"/>
      <c r="X42" s="31"/>
      <c r="Y42" s="31">
        <f t="shared" si="78"/>
        <v>0</v>
      </c>
      <c r="Z42" s="31">
        <v>500000</v>
      </c>
      <c r="AA42" s="31">
        <v>200000</v>
      </c>
      <c r="AB42" s="31">
        <v>30000</v>
      </c>
      <c r="AC42" s="31">
        <v>0</v>
      </c>
      <c r="AD42" s="31">
        <v>0</v>
      </c>
      <c r="AE42" s="31">
        <v>0</v>
      </c>
      <c r="AF42" s="31">
        <f t="shared" si="24"/>
        <v>0</v>
      </c>
      <c r="AG42" s="31">
        <f t="shared" si="10"/>
        <v>0</v>
      </c>
      <c r="AH42" s="101">
        <f t="shared" si="4"/>
        <v>-500000</v>
      </c>
      <c r="AI42" s="101">
        <f t="shared" si="79"/>
        <v>0</v>
      </c>
      <c r="AJ42" s="31">
        <f t="shared" si="11"/>
        <v>-200000</v>
      </c>
      <c r="AK42" s="101">
        <f t="shared" si="19"/>
        <v>0</v>
      </c>
      <c r="AL42" s="31"/>
      <c r="AM42" s="31"/>
      <c r="AN42" s="101">
        <f t="shared" si="12"/>
        <v>-30000</v>
      </c>
      <c r="AO42" s="101">
        <f t="shared" si="13"/>
        <v>0</v>
      </c>
      <c r="AP42" s="31">
        <f t="shared" si="14"/>
        <v>0</v>
      </c>
      <c r="AQ42" s="101">
        <v>0</v>
      </c>
      <c r="AR42" s="12"/>
      <c r="AS42" s="12"/>
      <c r="AT42" s="31"/>
    </row>
    <row r="43" spans="1:46" s="5" customFormat="1" ht="39" hidden="1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93</v>
      </c>
      <c r="J43" s="31"/>
      <c r="K43" s="31"/>
      <c r="L43" s="31"/>
      <c r="M43" s="31"/>
      <c r="N43" s="31"/>
      <c r="O43" s="31">
        <v>0</v>
      </c>
      <c r="P43" s="31">
        <f t="shared" si="76"/>
        <v>0</v>
      </c>
      <c r="Q43" s="31">
        <v>0</v>
      </c>
      <c r="R43" s="31">
        <f>Q43</f>
        <v>0</v>
      </c>
      <c r="S43" s="31">
        <v>0</v>
      </c>
      <c r="T43" s="31">
        <v>68665.72</v>
      </c>
      <c r="U43" s="31">
        <f t="shared" si="77"/>
        <v>68665.72</v>
      </c>
      <c r="V43" s="31">
        <v>900</v>
      </c>
      <c r="W43" s="31"/>
      <c r="X43" s="31"/>
      <c r="Y43" s="31">
        <f>V43</f>
        <v>900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f t="shared" si="24"/>
        <v>0</v>
      </c>
      <c r="AG43" s="31">
        <f t="shared" si="10"/>
        <v>0</v>
      </c>
      <c r="AH43" s="101">
        <f t="shared" si="4"/>
        <v>0</v>
      </c>
      <c r="AI43" s="101">
        <v>0</v>
      </c>
      <c r="AJ43" s="31">
        <f t="shared" si="11"/>
        <v>0</v>
      </c>
      <c r="AK43" s="101">
        <v>100</v>
      </c>
      <c r="AL43" s="31"/>
      <c r="AM43" s="31"/>
      <c r="AN43" s="101">
        <f t="shared" si="12"/>
        <v>0</v>
      </c>
      <c r="AO43" s="101">
        <v>0</v>
      </c>
      <c r="AP43" s="31">
        <f t="shared" si="14"/>
        <v>-900</v>
      </c>
      <c r="AQ43" s="101">
        <f t="shared" si="36"/>
        <v>0</v>
      </c>
      <c r="AR43" s="12"/>
      <c r="AS43" s="12"/>
      <c r="AT43" s="31"/>
    </row>
    <row r="44" spans="1:46" s="5" customFormat="1" ht="28.5" hidden="1" customHeight="1" x14ac:dyDescent="0.3">
      <c r="A44" s="4"/>
      <c r="B44" s="114" t="s">
        <v>12</v>
      </c>
      <c r="C44" s="114"/>
      <c r="D44" s="114"/>
      <c r="E44" s="114"/>
      <c r="F44" s="114"/>
      <c r="G44" s="114"/>
      <c r="H44" s="114"/>
      <c r="I44" s="114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98285.33</v>
      </c>
      <c r="T44" s="13">
        <v>314782.87</v>
      </c>
      <c r="U44" s="13">
        <f>T44</f>
        <v>314782.87</v>
      </c>
      <c r="V44" s="13">
        <v>26382.02</v>
      </c>
      <c r="W44" s="13"/>
      <c r="X44" s="13"/>
      <c r="Y44" s="13">
        <f>V44</f>
        <v>26382.02</v>
      </c>
      <c r="Z44" s="13"/>
      <c r="AA44" s="13">
        <v>0</v>
      </c>
      <c r="AB44" s="13">
        <v>0</v>
      </c>
      <c r="AC44" s="13">
        <v>0</v>
      </c>
      <c r="AD44" s="13">
        <v>18.46</v>
      </c>
      <c r="AE44" s="13">
        <v>0</v>
      </c>
      <c r="AF44" s="13">
        <f t="shared" si="24"/>
        <v>18.46</v>
      </c>
      <c r="AG44" s="13">
        <f t="shared" si="10"/>
        <v>18.46</v>
      </c>
      <c r="AH44" s="44">
        <f t="shared" si="4"/>
        <v>18.46</v>
      </c>
      <c r="AI44" s="44">
        <v>0</v>
      </c>
      <c r="AJ44" s="13">
        <f t="shared" si="11"/>
        <v>18.46</v>
      </c>
      <c r="AK44" s="42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12"/>
        <v>18.46</v>
      </c>
      <c r="AO44" s="111">
        <v>0</v>
      </c>
      <c r="AP44" s="13">
        <f t="shared" si="14"/>
        <v>-26363.56</v>
      </c>
      <c r="AQ44" s="42">
        <v>0</v>
      </c>
      <c r="AR44" s="12">
        <f t="shared" ref="AR44:AR59" si="80">AF44-M44</f>
        <v>-624429.02</v>
      </c>
      <c r="AS44" s="12">
        <f t="shared" ref="AS44:AS59" si="81">IF(M44=0,0,AF44/M44*100)</f>
        <v>2.9562133872331428E-3</v>
      </c>
      <c r="AT44" s="31">
        <f>AF44</f>
        <v>18.46</v>
      </c>
    </row>
    <row r="45" spans="1:46" s="10" customFormat="1" ht="60" hidden="1" customHeight="1" x14ac:dyDescent="0.3">
      <c r="A45" s="9"/>
      <c r="B45" s="115" t="s">
        <v>11</v>
      </c>
      <c r="C45" s="115"/>
      <c r="D45" s="115"/>
      <c r="E45" s="115"/>
      <c r="F45" s="115"/>
      <c r="G45" s="115"/>
      <c r="H45" s="115"/>
      <c r="I45" s="115"/>
      <c r="J45" s="12">
        <f t="shared" ref="J45:AF45" si="82">J46+J47</f>
        <v>4290634.29</v>
      </c>
      <c r="K45" s="12">
        <f t="shared" si="82"/>
        <v>4290634.29</v>
      </c>
      <c r="L45" s="12">
        <f t="shared" si="82"/>
        <v>3198289.13</v>
      </c>
      <c r="M45" s="12">
        <f t="shared" si="82"/>
        <v>3198289.13</v>
      </c>
      <c r="N45" s="12">
        <f t="shared" si="82"/>
        <v>3516712.9</v>
      </c>
      <c r="O45" s="12">
        <f t="shared" si="82"/>
        <v>4112775.06</v>
      </c>
      <c r="P45" s="12">
        <f t="shared" si="82"/>
        <v>4112775.06</v>
      </c>
      <c r="Q45" s="12">
        <v>4112775.06</v>
      </c>
      <c r="R45" s="12">
        <f t="shared" si="82"/>
        <v>4112775.06</v>
      </c>
      <c r="S45" s="12">
        <f t="shared" si="82"/>
        <v>1171237.6000000001</v>
      </c>
      <c r="T45" s="12">
        <f t="shared" si="82"/>
        <v>2218931.5799999996</v>
      </c>
      <c r="U45" s="12">
        <f t="shared" si="82"/>
        <v>2218931.5799999996</v>
      </c>
      <c r="V45" s="12">
        <f t="shared" si="82"/>
        <v>0</v>
      </c>
      <c r="W45" s="12"/>
      <c r="X45" s="12">
        <f t="shared" si="82"/>
        <v>0</v>
      </c>
      <c r="Y45" s="12">
        <f t="shared" si="82"/>
        <v>0</v>
      </c>
      <c r="Z45" s="12">
        <f t="shared" si="82"/>
        <v>132000</v>
      </c>
      <c r="AA45" s="12">
        <f t="shared" si="82"/>
        <v>132000</v>
      </c>
      <c r="AB45" s="12">
        <f t="shared" si="82"/>
        <v>0</v>
      </c>
      <c r="AC45" s="12">
        <f t="shared" ref="AC45" si="83">AC46+AC47</f>
        <v>0</v>
      </c>
      <c r="AD45" s="12">
        <f t="shared" si="82"/>
        <v>0</v>
      </c>
      <c r="AE45" s="12">
        <v>0</v>
      </c>
      <c r="AF45" s="12">
        <f t="shared" si="82"/>
        <v>0</v>
      </c>
      <c r="AG45" s="12">
        <f t="shared" si="10"/>
        <v>0</v>
      </c>
      <c r="AH45" s="44">
        <f t="shared" si="4"/>
        <v>-132000</v>
      </c>
      <c r="AI45" s="44">
        <f t="shared" ref="AI45:AI58" si="84">AF45/Z45*100</f>
        <v>0</v>
      </c>
      <c r="AJ45" s="12">
        <f t="shared" si="11"/>
        <v>-132000</v>
      </c>
      <c r="AK45" s="44">
        <f t="shared" si="19"/>
        <v>0</v>
      </c>
      <c r="AL45" s="12" t="e">
        <f>AF45-#REF!</f>
        <v>#REF!</v>
      </c>
      <c r="AM45" s="12" t="e">
        <f>IF(#REF!=0,0,AF45/#REF!*100)</f>
        <v>#REF!</v>
      </c>
      <c r="AN45" s="44">
        <f t="shared" si="12"/>
        <v>0</v>
      </c>
      <c r="AO45" s="44">
        <v>0</v>
      </c>
      <c r="AP45" s="12">
        <f t="shared" si="14"/>
        <v>0</v>
      </c>
      <c r="AQ45" s="44">
        <v>0</v>
      </c>
      <c r="AR45" s="12">
        <f t="shared" si="80"/>
        <v>-3198289.13</v>
      </c>
      <c r="AS45" s="12">
        <f t="shared" si="81"/>
        <v>0</v>
      </c>
      <c r="AT45" s="34">
        <f t="shared" ref="AT45" si="85">AT46+AT47</f>
        <v>0</v>
      </c>
    </row>
    <row r="46" spans="1:46" s="5" customFormat="1" ht="63" hidden="1" customHeight="1" x14ac:dyDescent="0.3">
      <c r="A46" s="4"/>
      <c r="B46" s="114" t="s">
        <v>37</v>
      </c>
      <c r="C46" s="114"/>
      <c r="D46" s="114"/>
      <c r="E46" s="114"/>
      <c r="F46" s="114"/>
      <c r="G46" s="114"/>
      <c r="H46" s="114"/>
      <c r="I46" s="114"/>
      <c r="J46" s="13">
        <v>163530</v>
      </c>
      <c r="K46" s="13">
        <f t="shared" ref="K46:K49" si="86">J46</f>
        <v>163530</v>
      </c>
      <c r="L46" s="13">
        <v>0</v>
      </c>
      <c r="M46" s="13">
        <f t="shared" ref="M46:M49" si="87">L46</f>
        <v>0</v>
      </c>
      <c r="N46" s="13">
        <v>762433</v>
      </c>
      <c r="O46" s="13">
        <v>763713</v>
      </c>
      <c r="P46" s="13">
        <f t="shared" ref="P46:P49" si="88">O46</f>
        <v>763713</v>
      </c>
      <c r="Q46" s="13">
        <v>763713</v>
      </c>
      <c r="R46" s="13">
        <f t="shared" ref="R46:R48" si="89">Q46</f>
        <v>763713</v>
      </c>
      <c r="S46" s="13">
        <v>5228.8</v>
      </c>
      <c r="T46" s="13">
        <v>5228.8</v>
      </c>
      <c r="U46" s="13">
        <f t="shared" ref="U46:U49" si="90">T46</f>
        <v>5228.8</v>
      </c>
      <c r="V46" s="13">
        <v>0</v>
      </c>
      <c r="W46" s="13"/>
      <c r="X46" s="13"/>
      <c r="Y46" s="13">
        <f>V46</f>
        <v>0</v>
      </c>
      <c r="Z46" s="13">
        <v>132000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f t="shared" si="24"/>
        <v>0</v>
      </c>
      <c r="AG46" s="13">
        <f t="shared" si="10"/>
        <v>0</v>
      </c>
      <c r="AH46" s="44">
        <f t="shared" si="4"/>
        <v>-132000</v>
      </c>
      <c r="AI46" s="44">
        <f t="shared" si="84"/>
        <v>0</v>
      </c>
      <c r="AJ46" s="13">
        <f t="shared" si="11"/>
        <v>0</v>
      </c>
      <c r="AK46" s="42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12"/>
        <v>0</v>
      </c>
      <c r="AO46" s="42">
        <v>0</v>
      </c>
      <c r="AP46" s="13">
        <f t="shared" si="14"/>
        <v>0</v>
      </c>
      <c r="AQ46" s="42">
        <v>0</v>
      </c>
      <c r="AR46" s="12">
        <f t="shared" si="80"/>
        <v>0</v>
      </c>
      <c r="AS46" s="12">
        <f t="shared" si="81"/>
        <v>0</v>
      </c>
      <c r="AT46" s="31">
        <f>AF46</f>
        <v>0</v>
      </c>
    </row>
    <row r="47" spans="1:46" s="5" customFormat="1" ht="65.25" hidden="1" customHeight="1" x14ac:dyDescent="0.3">
      <c r="A47" s="4"/>
      <c r="B47" s="114" t="s">
        <v>10</v>
      </c>
      <c r="C47" s="114"/>
      <c r="D47" s="114"/>
      <c r="E47" s="114"/>
      <c r="F47" s="114"/>
      <c r="G47" s="114"/>
      <c r="H47" s="114"/>
      <c r="I47" s="114"/>
      <c r="J47" s="13">
        <v>4127104.29</v>
      </c>
      <c r="K47" s="13">
        <f t="shared" si="86"/>
        <v>4127104.29</v>
      </c>
      <c r="L47" s="13">
        <v>3198289.13</v>
      </c>
      <c r="M47" s="13">
        <f t="shared" si="87"/>
        <v>3198289.13</v>
      </c>
      <c r="N47" s="13">
        <v>2754279.9</v>
      </c>
      <c r="O47" s="13">
        <v>3349062.06</v>
      </c>
      <c r="P47" s="13">
        <f t="shared" si="88"/>
        <v>3349062.06</v>
      </c>
      <c r="Q47" s="13">
        <v>3349062.06</v>
      </c>
      <c r="R47" s="13">
        <f t="shared" si="89"/>
        <v>3349062.06</v>
      </c>
      <c r="S47" s="13">
        <v>1166008.8</v>
      </c>
      <c r="T47" s="13">
        <v>2213702.7799999998</v>
      </c>
      <c r="U47" s="13">
        <f t="shared" si="90"/>
        <v>2213702.7799999998</v>
      </c>
      <c r="V47" s="13">
        <v>0</v>
      </c>
      <c r="W47" s="13"/>
      <c r="X47" s="13"/>
      <c r="Y47" s="13">
        <f>V47</f>
        <v>0</v>
      </c>
      <c r="Z47" s="13">
        <v>0</v>
      </c>
      <c r="AA47" s="13">
        <v>132000</v>
      </c>
      <c r="AB47" s="13">
        <v>0</v>
      </c>
      <c r="AC47" s="13">
        <v>0</v>
      </c>
      <c r="AD47" s="13">
        <v>0</v>
      </c>
      <c r="AE47" s="13">
        <v>0</v>
      </c>
      <c r="AF47" s="13">
        <f t="shared" si="24"/>
        <v>0</v>
      </c>
      <c r="AG47" s="13">
        <f t="shared" si="10"/>
        <v>0</v>
      </c>
      <c r="AH47" s="44">
        <f t="shared" si="4"/>
        <v>0</v>
      </c>
      <c r="AI47" s="44">
        <v>0</v>
      </c>
      <c r="AJ47" s="13">
        <f t="shared" si="11"/>
        <v>-132000</v>
      </c>
      <c r="AK47" s="42">
        <f>AF47/AA47%</f>
        <v>0</v>
      </c>
      <c r="AL47" s="13" t="e">
        <f>AF47-#REF!</f>
        <v>#REF!</v>
      </c>
      <c r="AM47" s="13" t="e">
        <f>IF(#REF!=0,0,AF47/#REF!*100)</f>
        <v>#REF!</v>
      </c>
      <c r="AN47" s="42">
        <f t="shared" si="12"/>
        <v>0</v>
      </c>
      <c r="AO47" s="42">
        <v>0</v>
      </c>
      <c r="AP47" s="13">
        <f t="shared" si="14"/>
        <v>0</v>
      </c>
      <c r="AQ47" s="42">
        <v>0</v>
      </c>
      <c r="AR47" s="12">
        <f t="shared" si="80"/>
        <v>-3198289.13</v>
      </c>
      <c r="AS47" s="12">
        <f t="shared" si="81"/>
        <v>0</v>
      </c>
      <c r="AT47" s="31">
        <f>AF47</f>
        <v>0</v>
      </c>
    </row>
    <row r="48" spans="1:46" s="10" customFormat="1" ht="39.75" hidden="1" customHeight="1" x14ac:dyDescent="0.3">
      <c r="A48" s="9"/>
      <c r="B48" s="115" t="s">
        <v>9</v>
      </c>
      <c r="C48" s="115"/>
      <c r="D48" s="115"/>
      <c r="E48" s="115"/>
      <c r="F48" s="115"/>
      <c r="G48" s="115"/>
      <c r="H48" s="115"/>
      <c r="I48" s="115"/>
      <c r="J48" s="12">
        <v>2338187.02</v>
      </c>
      <c r="K48" s="12">
        <f t="shared" si="86"/>
        <v>2338187.02</v>
      </c>
      <c r="L48" s="12">
        <v>974257.27</v>
      </c>
      <c r="M48" s="12">
        <f t="shared" si="87"/>
        <v>974257.27</v>
      </c>
      <c r="N48" s="12">
        <v>2799320.03</v>
      </c>
      <c r="O48" s="12">
        <v>3055345.14</v>
      </c>
      <c r="P48" s="12">
        <f t="shared" si="88"/>
        <v>3055345.14</v>
      </c>
      <c r="Q48" s="12">
        <v>3055345.14</v>
      </c>
      <c r="R48" s="12">
        <f t="shared" si="89"/>
        <v>3055345.14</v>
      </c>
      <c r="S48" s="12">
        <v>2239812</v>
      </c>
      <c r="T48" s="12">
        <v>2273274.8299999996</v>
      </c>
      <c r="U48" s="12">
        <f t="shared" si="90"/>
        <v>2273274.8299999996</v>
      </c>
      <c r="V48" s="12">
        <v>35967.21</v>
      </c>
      <c r="W48" s="12"/>
      <c r="X48" s="12"/>
      <c r="Y48" s="12">
        <f>V48</f>
        <v>35967.21</v>
      </c>
      <c r="Z48" s="12">
        <v>1249470</v>
      </c>
      <c r="AA48" s="12">
        <v>1147080</v>
      </c>
      <c r="AB48" s="12">
        <v>5000</v>
      </c>
      <c r="AC48" s="12">
        <v>5800</v>
      </c>
      <c r="AD48" s="12">
        <v>8147.03</v>
      </c>
      <c r="AE48" s="12">
        <v>5800</v>
      </c>
      <c r="AF48" s="12">
        <f t="shared" si="24"/>
        <v>13947.029999999999</v>
      </c>
      <c r="AG48" s="12">
        <f t="shared" si="10"/>
        <v>2347.0299999999997</v>
      </c>
      <c r="AH48" s="44">
        <f t="shared" si="4"/>
        <v>-1235522.97</v>
      </c>
      <c r="AI48" s="44">
        <f t="shared" si="84"/>
        <v>1.1162356839299863</v>
      </c>
      <c r="AJ48" s="12">
        <f t="shared" si="11"/>
        <v>-1133132.97</v>
      </c>
      <c r="AK48" s="44">
        <f t="shared" si="19"/>
        <v>1.2158724762004394</v>
      </c>
      <c r="AL48" s="12" t="e">
        <f>AF48-#REF!</f>
        <v>#REF!</v>
      </c>
      <c r="AM48" s="12" t="e">
        <f>IF(#REF!=0,0,AF48/#REF!*100)</f>
        <v>#REF!</v>
      </c>
      <c r="AN48" s="44">
        <f t="shared" si="12"/>
        <v>8947.0299999999988</v>
      </c>
      <c r="AO48" s="44">
        <f t="shared" si="13"/>
        <v>278.94059999999996</v>
      </c>
      <c r="AP48" s="12">
        <f t="shared" si="14"/>
        <v>-22020.18</v>
      </c>
      <c r="AQ48" s="44">
        <f t="shared" si="36"/>
        <v>38.777069447421688</v>
      </c>
      <c r="AR48" s="12">
        <f t="shared" si="80"/>
        <v>-960310.24</v>
      </c>
      <c r="AS48" s="12">
        <f t="shared" si="81"/>
        <v>1.4315551373817306</v>
      </c>
      <c r="AT48" s="34">
        <f>AF48</f>
        <v>13947.029999999999</v>
      </c>
    </row>
    <row r="49" spans="1:47" s="22" customFormat="1" ht="30" hidden="1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44</v>
      </c>
      <c r="J49" s="16">
        <v>256536.06</v>
      </c>
      <c r="K49" s="16">
        <f t="shared" si="86"/>
        <v>256536.06</v>
      </c>
      <c r="L49" s="16">
        <v>109317.03</v>
      </c>
      <c r="M49" s="16">
        <f t="shared" si="87"/>
        <v>109317.03</v>
      </c>
      <c r="N49" s="16">
        <v>210726.7</v>
      </c>
      <c r="O49" s="25">
        <f>221100.64+0.02+606.42</f>
        <v>221707.08000000002</v>
      </c>
      <c r="P49" s="16">
        <f t="shared" si="88"/>
        <v>221707.08000000002</v>
      </c>
      <c r="Q49" s="16">
        <v>221707.08000000002</v>
      </c>
      <c r="R49" s="16">
        <f>Q49</f>
        <v>221707.08000000002</v>
      </c>
      <c r="S49" s="25">
        <v>275700</v>
      </c>
      <c r="T49" s="25">
        <v>278352.34000000003</v>
      </c>
      <c r="U49" s="16">
        <f t="shared" si="90"/>
        <v>278352.34000000003</v>
      </c>
      <c r="V49" s="25">
        <v>9900</v>
      </c>
      <c r="W49" s="25"/>
      <c r="X49" s="25"/>
      <c r="Y49" s="16">
        <f>V49</f>
        <v>9900</v>
      </c>
      <c r="Z49" s="25">
        <v>336190</v>
      </c>
      <c r="AA49" s="25">
        <v>159900</v>
      </c>
      <c r="AB49" s="25">
        <v>5000</v>
      </c>
      <c r="AC49" s="25">
        <v>0</v>
      </c>
      <c r="AD49" s="25">
        <v>0</v>
      </c>
      <c r="AE49" s="25">
        <v>0</v>
      </c>
      <c r="AF49" s="25">
        <f t="shared" si="24"/>
        <v>0</v>
      </c>
      <c r="AG49" s="16">
        <f t="shared" si="10"/>
        <v>0</v>
      </c>
      <c r="AH49" s="44">
        <f t="shared" si="4"/>
        <v>-336190</v>
      </c>
      <c r="AI49" s="44">
        <f t="shared" si="84"/>
        <v>0</v>
      </c>
      <c r="AJ49" s="12">
        <f t="shared" si="11"/>
        <v>-159900</v>
      </c>
      <c r="AK49" s="42">
        <f t="shared" si="19"/>
        <v>0</v>
      </c>
      <c r="AL49" s="13" t="e">
        <f>AF49-#REF!</f>
        <v>#REF!</v>
      </c>
      <c r="AM49" s="13" t="e">
        <f>IF(#REF!=0,0,AF49/#REF!*100)</f>
        <v>#REF!</v>
      </c>
      <c r="AN49" s="42">
        <f t="shared" si="12"/>
        <v>-5000</v>
      </c>
      <c r="AO49" s="42">
        <f t="shared" si="13"/>
        <v>0</v>
      </c>
      <c r="AP49" s="13">
        <f t="shared" si="14"/>
        <v>-9900</v>
      </c>
      <c r="AQ49" s="42">
        <f t="shared" si="36"/>
        <v>0</v>
      </c>
      <c r="AR49" s="12">
        <f t="shared" si="80"/>
        <v>-109317.03</v>
      </c>
      <c r="AS49" s="12">
        <f t="shared" si="81"/>
        <v>0</v>
      </c>
      <c r="AT49" s="31">
        <f>AF49</f>
        <v>0</v>
      </c>
      <c r="AU49" s="25"/>
    </row>
    <row r="50" spans="1:47" s="10" customFormat="1" ht="36.75" hidden="1" customHeight="1" x14ac:dyDescent="0.3">
      <c r="A50" s="9"/>
      <c r="B50" s="115" t="s">
        <v>7</v>
      </c>
      <c r="C50" s="115"/>
      <c r="D50" s="115"/>
      <c r="E50" s="115"/>
      <c r="F50" s="115"/>
      <c r="G50" s="115"/>
      <c r="H50" s="115"/>
      <c r="I50" s="115"/>
      <c r="J50" s="12">
        <f t="shared" ref="J50:P50" si="91">J51+J53</f>
        <v>1294662.3799999999</v>
      </c>
      <c r="K50" s="12">
        <f t="shared" si="91"/>
        <v>4263051.83</v>
      </c>
      <c r="L50" s="12">
        <f t="shared" si="91"/>
        <v>389278.05</v>
      </c>
      <c r="M50" s="12">
        <f t="shared" si="91"/>
        <v>389278.05</v>
      </c>
      <c r="N50" s="12">
        <f t="shared" si="91"/>
        <v>2895802</v>
      </c>
      <c r="O50" s="12">
        <f t="shared" si="91"/>
        <v>4075696.4</v>
      </c>
      <c r="P50" s="12">
        <f t="shared" si="91"/>
        <v>4075696.4</v>
      </c>
      <c r="Q50" s="12">
        <v>4075696.4</v>
      </c>
      <c r="R50" s="12">
        <f t="shared" ref="R50" si="92">R51+R53</f>
        <v>4075696.4</v>
      </c>
      <c r="S50" s="12">
        <f>S51+S52+S53</f>
        <v>5038198.45</v>
      </c>
      <c r="T50" s="12">
        <f>T51+T52+T53</f>
        <v>5495063.3199999994</v>
      </c>
      <c r="U50" s="12">
        <f t="shared" ref="U50:Y50" si="93">U51+U52+U53</f>
        <v>5495063.3199999994</v>
      </c>
      <c r="V50" s="12">
        <f t="shared" si="93"/>
        <v>983444.49</v>
      </c>
      <c r="W50" s="12">
        <f t="shared" si="93"/>
        <v>0</v>
      </c>
      <c r="X50" s="12">
        <f t="shared" si="93"/>
        <v>0</v>
      </c>
      <c r="Y50" s="12">
        <f t="shared" si="93"/>
        <v>983444.49</v>
      </c>
      <c r="Z50" s="12">
        <f t="shared" ref="Z50:AB50" si="94">Z51+Z53</f>
        <v>2715689.65</v>
      </c>
      <c r="AA50" s="12">
        <f t="shared" si="94"/>
        <v>2968389.45</v>
      </c>
      <c r="AB50" s="12">
        <f t="shared" si="94"/>
        <v>54500</v>
      </c>
      <c r="AC50" s="12">
        <f>AC51+AC52+AC53</f>
        <v>1604.72</v>
      </c>
      <c r="AD50" s="12">
        <f>AD51+AD52+AD53</f>
        <v>0</v>
      </c>
      <c r="AE50" s="12">
        <v>1604.72</v>
      </c>
      <c r="AF50" s="12">
        <f>AF51+AF52+AF53</f>
        <v>1604.72</v>
      </c>
      <c r="AG50" s="12">
        <f t="shared" si="10"/>
        <v>-1604.72</v>
      </c>
      <c r="AH50" s="44">
        <f t="shared" si="4"/>
        <v>-2714084.9299999997</v>
      </c>
      <c r="AI50" s="44">
        <f t="shared" si="84"/>
        <v>5.9090699115784462E-2</v>
      </c>
      <c r="AJ50" s="12">
        <f t="shared" si="11"/>
        <v>-2966784.73</v>
      </c>
      <c r="AK50" s="44">
        <f t="shared" si="19"/>
        <v>5.4060291852876648E-2</v>
      </c>
      <c r="AL50" s="12" t="e">
        <f>AF50-#REF!</f>
        <v>#REF!</v>
      </c>
      <c r="AM50" s="12" t="e">
        <f>IF(#REF!=0,0,AF50/#REF!*100)</f>
        <v>#REF!</v>
      </c>
      <c r="AN50" s="44">
        <f t="shared" si="12"/>
        <v>-52895.28</v>
      </c>
      <c r="AO50" s="44">
        <f t="shared" si="13"/>
        <v>2.944440366972477</v>
      </c>
      <c r="AP50" s="12">
        <f t="shared" si="14"/>
        <v>-981839.77</v>
      </c>
      <c r="AQ50" s="44">
        <f t="shared" si="36"/>
        <v>0.1631734191728503</v>
      </c>
      <c r="AR50" s="12">
        <f t="shared" si="80"/>
        <v>-387673.33</v>
      </c>
      <c r="AS50" s="12">
        <f t="shared" si="81"/>
        <v>0.41222976738606248</v>
      </c>
      <c r="AT50" s="34">
        <f t="shared" ref="AT50" si="95">AT51+AT53</f>
        <v>4357156.72</v>
      </c>
    </row>
    <row r="51" spans="1:47" s="5" customFormat="1" ht="23.25" hidden="1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77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-41269.630000000005</v>
      </c>
      <c r="U51" s="13">
        <f>T51</f>
        <v>-41269.630000000005</v>
      </c>
      <c r="V51" s="13">
        <v>-7655.51</v>
      </c>
      <c r="W51" s="13"/>
      <c r="X51" s="13"/>
      <c r="Y51" s="13">
        <f>V51</f>
        <v>-7655.51</v>
      </c>
      <c r="Z51" s="13">
        <v>0</v>
      </c>
      <c r="AA51" s="13">
        <v>0</v>
      </c>
      <c r="AB51" s="13">
        <v>0</v>
      </c>
      <c r="AC51" s="110">
        <v>1604.72</v>
      </c>
      <c r="AD51" s="110">
        <v>0</v>
      </c>
      <c r="AE51" s="13">
        <v>1604.72</v>
      </c>
      <c r="AF51" s="13">
        <f t="shared" si="24"/>
        <v>1604.72</v>
      </c>
      <c r="AG51" s="16">
        <f t="shared" si="10"/>
        <v>-1604.72</v>
      </c>
      <c r="AH51" s="44">
        <f t="shared" si="4"/>
        <v>1604.72</v>
      </c>
      <c r="AI51" s="44">
        <v>0</v>
      </c>
      <c r="AJ51" s="13">
        <f t="shared" si="11"/>
        <v>1604.72</v>
      </c>
      <c r="AK51" s="42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12"/>
        <v>1604.72</v>
      </c>
      <c r="AO51" s="42">
        <v>100</v>
      </c>
      <c r="AP51" s="13">
        <f t="shared" si="14"/>
        <v>9260.23</v>
      </c>
      <c r="AQ51" s="44">
        <f t="shared" si="36"/>
        <v>-20.961634169376044</v>
      </c>
      <c r="AR51" s="12">
        <f t="shared" si="80"/>
        <v>-387673.33</v>
      </c>
      <c r="AS51" s="12">
        <f t="shared" si="81"/>
        <v>0.41222976738606248</v>
      </c>
      <c r="AT51" s="31">
        <f>AF51</f>
        <v>1604.72</v>
      </c>
    </row>
    <row r="52" spans="1:47" s="5" customFormat="1" ht="39.75" hidden="1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78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0</v>
      </c>
      <c r="T52" s="13">
        <v>155286.9</v>
      </c>
      <c r="U52" s="13">
        <f t="shared" ref="U52:U53" si="96">T52</f>
        <v>155286.9</v>
      </c>
      <c r="V52" s="13">
        <v>3300</v>
      </c>
      <c r="W52" s="13"/>
      <c r="X52" s="13"/>
      <c r="Y52" s="13">
        <f t="shared" ref="Y52:Y53" si="97">V52</f>
        <v>3300</v>
      </c>
      <c r="Z52" s="13"/>
      <c r="AA52" s="13">
        <v>0</v>
      </c>
      <c r="AB52" s="13">
        <v>0</v>
      </c>
      <c r="AC52" s="110">
        <v>0</v>
      </c>
      <c r="AD52" s="110">
        <v>0</v>
      </c>
      <c r="AE52" s="13">
        <v>0</v>
      </c>
      <c r="AF52" s="13">
        <f t="shared" si="24"/>
        <v>0</v>
      </c>
      <c r="AG52" s="16">
        <f t="shared" si="10"/>
        <v>0</v>
      </c>
      <c r="AH52" s="44"/>
      <c r="AI52" s="44"/>
      <c r="AJ52" s="13">
        <f t="shared" si="11"/>
        <v>0</v>
      </c>
      <c r="AK52" s="42">
        <v>100</v>
      </c>
      <c r="AL52" s="13"/>
      <c r="AM52" s="13"/>
      <c r="AN52" s="42">
        <f t="shared" si="12"/>
        <v>0</v>
      </c>
      <c r="AO52" s="42">
        <v>100</v>
      </c>
      <c r="AP52" s="13">
        <f t="shared" si="14"/>
        <v>-3300</v>
      </c>
      <c r="AQ52" s="44">
        <f t="shared" si="36"/>
        <v>0</v>
      </c>
      <c r="AR52" s="12"/>
      <c r="AS52" s="12"/>
      <c r="AT52" s="31"/>
    </row>
    <row r="53" spans="1:47" s="5" customFormat="1" ht="28.5" hidden="1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47</v>
      </c>
      <c r="J53" s="13">
        <v>0</v>
      </c>
      <c r="K53" s="24">
        <f>AA53</f>
        <v>2968389.45</v>
      </c>
      <c r="L53" s="13">
        <v>0</v>
      </c>
      <c r="M53" s="37">
        <f>AF53</f>
        <v>0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5038198.45</v>
      </c>
      <c r="T53" s="13">
        <v>5381046.0499999998</v>
      </c>
      <c r="U53" s="13">
        <f t="shared" si="96"/>
        <v>5381046.0499999998</v>
      </c>
      <c r="V53" s="13">
        <v>987800</v>
      </c>
      <c r="W53" s="13"/>
      <c r="X53" s="13"/>
      <c r="Y53" s="13">
        <f t="shared" si="97"/>
        <v>987800</v>
      </c>
      <c r="Z53" s="13">
        <v>2715689.65</v>
      </c>
      <c r="AA53" s="13">
        <v>2968389.45</v>
      </c>
      <c r="AB53" s="13">
        <v>54500</v>
      </c>
      <c r="AC53" s="13">
        <v>0</v>
      </c>
      <c r="AD53" s="13">
        <v>0</v>
      </c>
      <c r="AE53" s="13">
        <v>0</v>
      </c>
      <c r="AF53" s="13">
        <f t="shared" si="24"/>
        <v>0</v>
      </c>
      <c r="AG53" s="16">
        <f t="shared" si="10"/>
        <v>0</v>
      </c>
      <c r="AH53" s="44">
        <f t="shared" si="4"/>
        <v>-2715689.65</v>
      </c>
      <c r="AI53" s="44">
        <f t="shared" si="84"/>
        <v>0</v>
      </c>
      <c r="AJ53" s="13">
        <f t="shared" si="11"/>
        <v>-2968389.45</v>
      </c>
      <c r="AK53" s="42">
        <f t="shared" si="19"/>
        <v>0</v>
      </c>
      <c r="AL53" s="13" t="e">
        <f>AF53-#REF!</f>
        <v>#REF!</v>
      </c>
      <c r="AM53" s="13" t="e">
        <f>IF(#REF!=0,0,AF53/#REF!*100)</f>
        <v>#REF!</v>
      </c>
      <c r="AN53" s="42">
        <f t="shared" si="12"/>
        <v>-54500</v>
      </c>
      <c r="AO53" s="42">
        <f t="shared" si="13"/>
        <v>0</v>
      </c>
      <c r="AP53" s="13">
        <f t="shared" si="14"/>
        <v>-987800</v>
      </c>
      <c r="AQ53" s="42">
        <f t="shared" si="36"/>
        <v>0</v>
      </c>
      <c r="AR53" s="12">
        <f t="shared" si="80"/>
        <v>0</v>
      </c>
      <c r="AS53" s="12">
        <f t="shared" si="81"/>
        <v>0</v>
      </c>
      <c r="AT53" s="31">
        <f>5544443-1188891</f>
        <v>4355552</v>
      </c>
    </row>
    <row r="54" spans="1:47" s="10" customFormat="1" ht="23.25" customHeight="1" x14ac:dyDescent="0.3">
      <c r="A54" s="9"/>
      <c r="B54" s="115" t="s">
        <v>1</v>
      </c>
      <c r="C54" s="115"/>
      <c r="D54" s="115"/>
      <c r="E54" s="115"/>
      <c r="F54" s="115"/>
      <c r="G54" s="115"/>
      <c r="H54" s="115"/>
      <c r="I54" s="115"/>
      <c r="J54" s="12">
        <f t="shared" ref="J54:R54" si="98">J55+J56+J57+J58+J59+J61+J62</f>
        <v>1731743649.9200001</v>
      </c>
      <c r="K54" s="12">
        <f t="shared" si="98"/>
        <v>1726065816.5200002</v>
      </c>
      <c r="L54" s="26">
        <f t="shared" si="98"/>
        <v>754564037.68999994</v>
      </c>
      <c r="M54" s="26">
        <f t="shared" si="98"/>
        <v>750829669.28999996</v>
      </c>
      <c r="N54" s="12">
        <f t="shared" si="98"/>
        <v>1949401304.4499998</v>
      </c>
      <c r="O54" s="12">
        <f t="shared" si="98"/>
        <v>1942881158.9100001</v>
      </c>
      <c r="P54" s="12">
        <f t="shared" si="98"/>
        <v>1942881158.9100001</v>
      </c>
      <c r="Q54" s="12">
        <v>1942881158.9100001</v>
      </c>
      <c r="R54" s="12">
        <f t="shared" si="98"/>
        <v>1942881158.9100001</v>
      </c>
      <c r="S54" s="12">
        <f t="shared" ref="S54:T54" si="99">S55+S56+S57+S58+S59+S60+S61+S62</f>
        <v>2058217674.4300001</v>
      </c>
      <c r="T54" s="12">
        <f t="shared" si="99"/>
        <v>2039899297.8500004</v>
      </c>
      <c r="U54" s="12">
        <f t="shared" ref="U54:AB54" si="100">U55+U56+U57+U58+U59+U61+U62</f>
        <v>2039899297.8500004</v>
      </c>
      <c r="V54" s="12">
        <f>V55+V56+V57+V58+V59+V60+V61+V62</f>
        <v>117466531.09</v>
      </c>
      <c r="W54" s="12"/>
      <c r="X54" s="12">
        <f t="shared" si="100"/>
        <v>0</v>
      </c>
      <c r="Y54" s="12">
        <f>Y55+Y56+Y57+Y58+Y59+Y60+Y61+Y62</f>
        <v>117466531.09</v>
      </c>
      <c r="Z54" s="12">
        <f t="shared" si="100"/>
        <v>1741578685.6100001</v>
      </c>
      <c r="AA54" s="12">
        <f t="shared" si="100"/>
        <v>1547736403.99</v>
      </c>
      <c r="AB54" s="12">
        <f t="shared" si="100"/>
        <v>127588410.66000001</v>
      </c>
      <c r="AC54" s="12">
        <f>AC55+AC56+AC57+AC58+AC59+AC61+AC62</f>
        <v>21623270.699999999</v>
      </c>
      <c r="AD54" s="12">
        <f>AD55+AD56+AD57+AD58+AD59+AD61+AD62</f>
        <v>-43891308.469999999</v>
      </c>
      <c r="AE54" s="12">
        <v>63675770.700000003</v>
      </c>
      <c r="AF54" s="12">
        <f t="shared" ref="AF54" si="101">AF55+AF56+AF57+AF58+AF59+AF61+AF62</f>
        <v>19784462.230000004</v>
      </c>
      <c r="AG54" s="12">
        <f t="shared" si="10"/>
        <v>-65514579.170000002</v>
      </c>
      <c r="AH54" s="44">
        <f t="shared" si="4"/>
        <v>-1721794223.3800001</v>
      </c>
      <c r="AI54" s="44">
        <f t="shared" si="84"/>
        <v>1.1360073704088975</v>
      </c>
      <c r="AJ54" s="12">
        <f t="shared" si="11"/>
        <v>-1527951941.76</v>
      </c>
      <c r="AK54" s="44">
        <f t="shared" si="19"/>
        <v>1.2782837038010144</v>
      </c>
      <c r="AL54" s="12" t="e">
        <f>AF54-#REF!</f>
        <v>#REF!</v>
      </c>
      <c r="AM54" s="12" t="e">
        <f>IF(#REF!=0,0,AF54/#REF!*100)</f>
        <v>#REF!</v>
      </c>
      <c r="AN54" s="44">
        <f t="shared" si="12"/>
        <v>-107803948.43000001</v>
      </c>
      <c r="AO54" s="44">
        <f t="shared" si="13"/>
        <v>15.50647282747491</v>
      </c>
      <c r="AP54" s="12">
        <f t="shared" si="14"/>
        <v>-97682068.859999999</v>
      </c>
      <c r="AQ54" s="44">
        <f t="shared" si="36"/>
        <v>16.842637682763979</v>
      </c>
      <c r="AR54" s="12">
        <f t="shared" si="80"/>
        <v>-731045207.05999994</v>
      </c>
      <c r="AS54" s="12">
        <f t="shared" si="81"/>
        <v>2.6350133777623093</v>
      </c>
      <c r="AT54" s="34" t="e">
        <f t="shared" ref="AT54" si="102">AT55+AT56+AT57+AT58+AT59+AT61+AT62</f>
        <v>#REF!</v>
      </c>
    </row>
    <row r="55" spans="1:47" s="10" customFormat="1" ht="38.25" customHeight="1" x14ac:dyDescent="0.3">
      <c r="A55" s="9"/>
      <c r="B55" s="115" t="s">
        <v>6</v>
      </c>
      <c r="C55" s="115"/>
      <c r="D55" s="115"/>
      <c r="E55" s="115"/>
      <c r="F55" s="115"/>
      <c r="G55" s="115"/>
      <c r="H55" s="115"/>
      <c r="I55" s="115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103">O55</f>
        <v>436509000</v>
      </c>
      <c r="Q55" s="12">
        <v>436509000</v>
      </c>
      <c r="R55" s="12">
        <f t="shared" ref="R55:R62" si="104">Q55</f>
        <v>436509000</v>
      </c>
      <c r="S55" s="12">
        <v>543552380</v>
      </c>
      <c r="T55" s="12">
        <v>543552380</v>
      </c>
      <c r="U55" s="12">
        <f t="shared" ref="U55:U62" si="105">T55</f>
        <v>543552380</v>
      </c>
      <c r="V55" s="12">
        <v>45273500</v>
      </c>
      <c r="W55" s="12"/>
      <c r="X55" s="12"/>
      <c r="Y55" s="12">
        <f t="shared" ref="Y55:Y62" si="106">V55</f>
        <v>45273500</v>
      </c>
      <c r="Z55" s="12">
        <v>543282000</v>
      </c>
      <c r="AA55" s="12">
        <v>504630000</v>
      </c>
      <c r="AB55" s="34">
        <v>42052500</v>
      </c>
      <c r="AC55" s="12">
        <v>0</v>
      </c>
      <c r="AD55" s="12">
        <v>0</v>
      </c>
      <c r="AE55" s="12">
        <v>42052500</v>
      </c>
      <c r="AF55" s="12">
        <f t="shared" si="24"/>
        <v>42052500</v>
      </c>
      <c r="AG55" s="12">
        <f t="shared" si="10"/>
        <v>0</v>
      </c>
      <c r="AH55" s="44">
        <f t="shared" si="4"/>
        <v>-501229500</v>
      </c>
      <c r="AI55" s="44">
        <f t="shared" si="84"/>
        <v>7.7404552331938099</v>
      </c>
      <c r="AJ55" s="12">
        <f t="shared" si="11"/>
        <v>-462577500</v>
      </c>
      <c r="AK55" s="44">
        <f t="shared" si="19"/>
        <v>8.3333333333333339</v>
      </c>
      <c r="AL55" s="12" t="e">
        <f>AF55-#REF!</f>
        <v>#REF!</v>
      </c>
      <c r="AM55" s="12" t="e">
        <f>IF(#REF!=0,0,AF55/#REF!*100)</f>
        <v>#REF!</v>
      </c>
      <c r="AN55" s="44">
        <f t="shared" si="12"/>
        <v>0</v>
      </c>
      <c r="AO55" s="44">
        <f t="shared" si="13"/>
        <v>100</v>
      </c>
      <c r="AP55" s="12">
        <f t="shared" si="14"/>
        <v>-3221000</v>
      </c>
      <c r="AQ55" s="44">
        <f t="shared" si="36"/>
        <v>92.885462798325733</v>
      </c>
      <c r="AR55" s="12">
        <f t="shared" si="80"/>
        <v>-159436500</v>
      </c>
      <c r="AS55" s="12">
        <f t="shared" si="81"/>
        <v>20.870866399654574</v>
      </c>
      <c r="AT55" s="34">
        <v>436509000</v>
      </c>
    </row>
    <row r="56" spans="1:47" s="10" customFormat="1" ht="43.5" customHeight="1" x14ac:dyDescent="0.3">
      <c r="A56" s="9"/>
      <c r="B56" s="115" t="s">
        <v>5</v>
      </c>
      <c r="C56" s="115"/>
      <c r="D56" s="115"/>
      <c r="E56" s="115"/>
      <c r="F56" s="115"/>
      <c r="G56" s="115"/>
      <c r="H56" s="115"/>
      <c r="I56" s="115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103"/>
        <v>266680542.02000001</v>
      </c>
      <c r="Q56" s="12">
        <v>266680542.02000001</v>
      </c>
      <c r="R56" s="12">
        <f t="shared" si="104"/>
        <v>266680542.02000001</v>
      </c>
      <c r="S56" s="12">
        <v>448087921.25</v>
      </c>
      <c r="T56" s="12">
        <v>432403468.83000004</v>
      </c>
      <c r="U56" s="12">
        <f t="shared" si="105"/>
        <v>432403468.83000004</v>
      </c>
      <c r="V56" s="12">
        <v>0</v>
      </c>
      <c r="W56" s="12"/>
      <c r="X56" s="12"/>
      <c r="Y56" s="12">
        <f t="shared" si="106"/>
        <v>0</v>
      </c>
      <c r="Z56" s="12">
        <v>164450526.09999999</v>
      </c>
      <c r="AA56" s="12">
        <v>199694467.69999999</v>
      </c>
      <c r="AB56" s="12">
        <v>0</v>
      </c>
      <c r="AC56" s="12">
        <v>0</v>
      </c>
      <c r="AD56" s="12">
        <v>0</v>
      </c>
      <c r="AE56" s="12">
        <v>0</v>
      </c>
      <c r="AF56" s="12">
        <f t="shared" si="24"/>
        <v>0</v>
      </c>
      <c r="AG56" s="12">
        <f t="shared" si="10"/>
        <v>0</v>
      </c>
      <c r="AH56" s="44">
        <f t="shared" si="4"/>
        <v>-164450526.09999999</v>
      </c>
      <c r="AI56" s="44">
        <f t="shared" si="84"/>
        <v>0</v>
      </c>
      <c r="AJ56" s="12">
        <f t="shared" si="11"/>
        <v>-199694467.69999999</v>
      </c>
      <c r="AK56" s="44">
        <f t="shared" si="19"/>
        <v>0</v>
      </c>
      <c r="AL56" s="12" t="e">
        <f>AF56-#REF!</f>
        <v>#REF!</v>
      </c>
      <c r="AM56" s="12" t="e">
        <f>IF(#REF!=0,0,AF56/#REF!*100)</f>
        <v>#REF!</v>
      </c>
      <c r="AN56" s="44">
        <f t="shared" si="12"/>
        <v>0</v>
      </c>
      <c r="AO56" s="44">
        <v>0</v>
      </c>
      <c r="AP56" s="12">
        <f t="shared" si="14"/>
        <v>0</v>
      </c>
      <c r="AQ56" s="44">
        <v>0</v>
      </c>
      <c r="AR56" s="12">
        <f t="shared" si="80"/>
        <v>-68252184.099999994</v>
      </c>
      <c r="AS56" s="12">
        <f t="shared" si="81"/>
        <v>0</v>
      </c>
      <c r="AT56" s="34" t="e">
        <f>#REF!</f>
        <v>#REF!</v>
      </c>
    </row>
    <row r="57" spans="1:47" s="10" customFormat="1" ht="45" customHeight="1" x14ac:dyDescent="0.3">
      <c r="A57" s="9"/>
      <c r="B57" s="115" t="s">
        <v>4</v>
      </c>
      <c r="C57" s="115"/>
      <c r="D57" s="115"/>
      <c r="E57" s="115"/>
      <c r="F57" s="115"/>
      <c r="G57" s="115"/>
      <c r="H57" s="115"/>
      <c r="I57" s="115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103"/>
        <v>1213354064.45</v>
      </c>
      <c r="Q57" s="12">
        <v>1213354064.45</v>
      </c>
      <c r="R57" s="12">
        <f t="shared" si="104"/>
        <v>1213354064.45</v>
      </c>
      <c r="S57" s="12">
        <v>1052485113.04</v>
      </c>
      <c r="T57" s="12">
        <v>1050017221.74</v>
      </c>
      <c r="U57" s="12">
        <f t="shared" si="105"/>
        <v>1050017221.74</v>
      </c>
      <c r="V57" s="12">
        <v>73301982.280000001</v>
      </c>
      <c r="W57" s="12"/>
      <c r="X57" s="12"/>
      <c r="Y57" s="12">
        <f t="shared" si="106"/>
        <v>73301982.280000001</v>
      </c>
      <c r="Z57" s="12">
        <v>1032066181.7</v>
      </c>
      <c r="AA57" s="12">
        <v>841614535.71000004</v>
      </c>
      <c r="AB57" s="12">
        <v>85385012.760000005</v>
      </c>
      <c r="AC57" s="12">
        <v>22699141.84</v>
      </c>
      <c r="AD57" s="12">
        <v>11909138.210000001</v>
      </c>
      <c r="AE57" s="12">
        <v>22699141.84</v>
      </c>
      <c r="AF57" s="12">
        <f t="shared" si="24"/>
        <v>34608280.049999997</v>
      </c>
      <c r="AG57" s="12">
        <f t="shared" si="10"/>
        <v>-10790003.629999999</v>
      </c>
      <c r="AH57" s="44">
        <f t="shared" si="4"/>
        <v>-997457901.6500001</v>
      </c>
      <c r="AI57" s="44">
        <f t="shared" si="84"/>
        <v>3.3533004630569221</v>
      </c>
      <c r="AJ57" s="12">
        <f t="shared" si="11"/>
        <v>-807006255.66000009</v>
      </c>
      <c r="AK57" s="44">
        <f t="shared" si="19"/>
        <v>4.1121295535614619</v>
      </c>
      <c r="AL57" s="12" t="e">
        <f>AF57-#REF!</f>
        <v>#REF!</v>
      </c>
      <c r="AM57" s="12" t="e">
        <f>IF(#REF!=0,0,AF57/#REF!*100)</f>
        <v>#REF!</v>
      </c>
      <c r="AN57" s="44">
        <f t="shared" si="12"/>
        <v>-50776732.710000008</v>
      </c>
      <c r="AO57" s="44">
        <f t="shared" si="13"/>
        <v>40.532031244495883</v>
      </c>
      <c r="AP57" s="12">
        <f t="shared" si="14"/>
        <v>-38693702.230000004</v>
      </c>
      <c r="AQ57" s="44">
        <f t="shared" si="36"/>
        <v>47.213293520225385</v>
      </c>
      <c r="AR57" s="12">
        <f t="shared" si="80"/>
        <v>-449890402.06999999</v>
      </c>
      <c r="AS57" s="12">
        <f t="shared" si="81"/>
        <v>7.1431112874375717</v>
      </c>
      <c r="AT57" s="34" t="e">
        <f>#REF!</f>
        <v>#REF!</v>
      </c>
    </row>
    <row r="58" spans="1:47" s="10" customFormat="1" ht="27" customHeight="1" x14ac:dyDescent="0.3">
      <c r="A58" s="9"/>
      <c r="B58" s="115" t="s">
        <v>3</v>
      </c>
      <c r="C58" s="115"/>
      <c r="D58" s="115"/>
      <c r="E58" s="115"/>
      <c r="F58" s="115"/>
      <c r="G58" s="115"/>
      <c r="H58" s="115"/>
      <c r="I58" s="115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103"/>
        <v>31536396.41</v>
      </c>
      <c r="Q58" s="12">
        <v>31536396.41</v>
      </c>
      <c r="R58" s="12">
        <f t="shared" si="104"/>
        <v>31536396.41</v>
      </c>
      <c r="S58" s="12">
        <v>14687976.27</v>
      </c>
      <c r="T58" s="12">
        <v>14514443.27</v>
      </c>
      <c r="U58" s="12">
        <f t="shared" si="105"/>
        <v>14514443.27</v>
      </c>
      <c r="V58" s="12">
        <v>140379.03</v>
      </c>
      <c r="W58" s="12"/>
      <c r="X58" s="12"/>
      <c r="Y58" s="12">
        <f t="shared" si="106"/>
        <v>140379.03</v>
      </c>
      <c r="Z58" s="12">
        <v>1779977.81</v>
      </c>
      <c r="AA58" s="12">
        <v>1797400.58</v>
      </c>
      <c r="AB58" s="12">
        <v>150897.9</v>
      </c>
      <c r="AC58" s="12">
        <v>150897.9</v>
      </c>
      <c r="AD58" s="12">
        <v>0</v>
      </c>
      <c r="AE58" s="12">
        <v>150897.9</v>
      </c>
      <c r="AF58" s="12">
        <f t="shared" si="24"/>
        <v>150897.9</v>
      </c>
      <c r="AG58" s="12">
        <f t="shared" si="10"/>
        <v>-150897.9</v>
      </c>
      <c r="AH58" s="44">
        <f t="shared" si="4"/>
        <v>-1629079.9100000001</v>
      </c>
      <c r="AI58" s="44">
        <f t="shared" si="84"/>
        <v>8.4775157955480349</v>
      </c>
      <c r="AJ58" s="12">
        <f t="shared" si="11"/>
        <v>-1646502.6800000002</v>
      </c>
      <c r="AK58" s="44">
        <f t="shared" si="19"/>
        <v>8.3953405645390404</v>
      </c>
      <c r="AL58" s="12" t="e">
        <f>AF58-#REF!</f>
        <v>#REF!</v>
      </c>
      <c r="AM58" s="12" t="e">
        <f>IF(#REF!=0,0,AF58/#REF!*100)</f>
        <v>#REF!</v>
      </c>
      <c r="AN58" s="44">
        <f t="shared" si="12"/>
        <v>0</v>
      </c>
      <c r="AO58" s="44">
        <f t="shared" si="13"/>
        <v>100</v>
      </c>
      <c r="AP58" s="12">
        <f t="shared" si="14"/>
        <v>10518.869999999995</v>
      </c>
      <c r="AQ58" s="44">
        <f t="shared" si="36"/>
        <v>107.49319182501831</v>
      </c>
      <c r="AR58" s="12">
        <f t="shared" si="80"/>
        <v>-378502.53</v>
      </c>
      <c r="AS58" s="12">
        <f t="shared" si="81"/>
        <v>28.503546927606383</v>
      </c>
      <c r="AT58" s="34" t="e">
        <f>#REF!</f>
        <v>#REF!</v>
      </c>
    </row>
    <row r="59" spans="1:47" s="10" customFormat="1" ht="39" customHeight="1" x14ac:dyDescent="0.3">
      <c r="A59" s="9"/>
      <c r="B59" s="115" t="s">
        <v>2</v>
      </c>
      <c r="C59" s="115"/>
      <c r="D59" s="115"/>
      <c r="E59" s="115"/>
      <c r="F59" s="115"/>
      <c r="G59" s="115"/>
      <c r="H59" s="115"/>
      <c r="I59" s="115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103"/>
        <v>18244.099999999999</v>
      </c>
      <c r="Q59" s="12">
        <v>18244.099999999999</v>
      </c>
      <c r="R59" s="12">
        <f t="shared" si="104"/>
        <v>18244.099999999999</v>
      </c>
      <c r="S59" s="12">
        <v>102600.69</v>
      </c>
      <c r="T59" s="12">
        <v>110100.69</v>
      </c>
      <c r="U59" s="12">
        <f t="shared" si="105"/>
        <v>110100.69</v>
      </c>
      <c r="V59" s="12">
        <v>1118.4000000000001</v>
      </c>
      <c r="W59" s="12"/>
      <c r="X59" s="12"/>
      <c r="Y59" s="12">
        <f t="shared" si="106"/>
        <v>1118.4000000000001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f t="shared" si="24"/>
        <v>0</v>
      </c>
      <c r="AG59" s="12">
        <f t="shared" si="10"/>
        <v>0</v>
      </c>
      <c r="AH59" s="44">
        <f t="shared" si="4"/>
        <v>0</v>
      </c>
      <c r="AI59" s="44">
        <v>0</v>
      </c>
      <c r="AJ59" s="12">
        <f t="shared" si="11"/>
        <v>0</v>
      </c>
      <c r="AK59" s="44">
        <v>0</v>
      </c>
      <c r="AL59" s="12" t="e">
        <f>AF59-#REF!</f>
        <v>#REF!</v>
      </c>
      <c r="AM59" s="12" t="e">
        <f>IF(#REF!=0,0,AF59/#REF!*100)</f>
        <v>#REF!</v>
      </c>
      <c r="AN59" s="44">
        <f t="shared" si="12"/>
        <v>0</v>
      </c>
      <c r="AO59" s="44">
        <v>0</v>
      </c>
      <c r="AP59" s="12">
        <f t="shared" si="14"/>
        <v>-1118.4000000000001</v>
      </c>
      <c r="AQ59" s="44">
        <f t="shared" si="36"/>
        <v>0</v>
      </c>
      <c r="AR59" s="12">
        <f t="shared" si="80"/>
        <v>-15145.1</v>
      </c>
      <c r="AS59" s="12">
        <f t="shared" si="81"/>
        <v>0</v>
      </c>
      <c r="AT59" s="34">
        <f>AF59</f>
        <v>0</v>
      </c>
    </row>
    <row r="60" spans="1:47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62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-180108.12</v>
      </c>
      <c r="W60" s="12"/>
      <c r="X60" s="12"/>
      <c r="Y60" s="12">
        <f t="shared" si="106"/>
        <v>-180108.12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f t="shared" si="24"/>
        <v>0</v>
      </c>
      <c r="AG60" s="12">
        <f>AD60-AC60</f>
        <v>0</v>
      </c>
      <c r="AH60" s="44">
        <f t="shared" si="4"/>
        <v>0</v>
      </c>
      <c r="AI60" s="44">
        <v>0</v>
      </c>
      <c r="AJ60" s="12">
        <f t="shared" si="11"/>
        <v>0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12"/>
        <v>0</v>
      </c>
      <c r="AO60" s="44">
        <v>0</v>
      </c>
      <c r="AP60" s="12">
        <f>AF60-Y60</f>
        <v>180108.12</v>
      </c>
      <c r="AQ60" s="44">
        <f t="shared" si="36"/>
        <v>0</v>
      </c>
      <c r="AR60" s="12"/>
      <c r="AS60" s="12"/>
      <c r="AT60" s="34"/>
    </row>
    <row r="61" spans="1:47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103"/>
        <v>280404</v>
      </c>
      <c r="Q61" s="12">
        <v>280404</v>
      </c>
      <c r="R61" s="12">
        <f t="shared" si="104"/>
        <v>280404</v>
      </c>
      <c r="S61" s="12">
        <v>0</v>
      </c>
      <c r="T61" s="12">
        <v>0.13999999999941792</v>
      </c>
      <c r="U61" s="12">
        <f t="shared" si="105"/>
        <v>0.13999999999941792</v>
      </c>
      <c r="V61" s="12">
        <v>27124.19</v>
      </c>
      <c r="W61" s="12"/>
      <c r="X61" s="12"/>
      <c r="Y61" s="12">
        <f t="shared" si="106"/>
        <v>27124.19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f t="shared" si="24"/>
        <v>0</v>
      </c>
      <c r="AG61" s="12">
        <f t="shared" si="10"/>
        <v>0</v>
      </c>
      <c r="AH61" s="44">
        <f t="shared" si="4"/>
        <v>0</v>
      </c>
      <c r="AI61" s="44">
        <v>0</v>
      </c>
      <c r="AJ61" s="12">
        <f t="shared" si="11"/>
        <v>0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12"/>
        <v>0</v>
      </c>
      <c r="AO61" s="44">
        <v>0</v>
      </c>
      <c r="AP61" s="12">
        <f t="shared" si="14"/>
        <v>-27124.19</v>
      </c>
      <c r="AQ61" s="44">
        <f t="shared" si="36"/>
        <v>0</v>
      </c>
      <c r="AR61" s="12">
        <f>AF61-M61</f>
        <v>0</v>
      </c>
      <c r="AS61" s="12">
        <f>IF(M61=0,0,AF61/M61*100)</f>
        <v>0</v>
      </c>
      <c r="AT61" s="34">
        <f>AF61</f>
        <v>0</v>
      </c>
    </row>
    <row r="62" spans="1:47" s="10" customFormat="1" ht="78.75" customHeight="1" x14ac:dyDescent="0.3">
      <c r="A62" s="9"/>
      <c r="B62" s="115" t="s">
        <v>0</v>
      </c>
      <c r="C62" s="115"/>
      <c r="D62" s="115"/>
      <c r="E62" s="115"/>
      <c r="F62" s="115"/>
      <c r="G62" s="115"/>
      <c r="H62" s="115"/>
      <c r="I62" s="115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103"/>
        <v>-5497492.0700000003</v>
      </c>
      <c r="Q62" s="12">
        <v>-5497492.0700000003</v>
      </c>
      <c r="R62" s="12">
        <f t="shared" si="104"/>
        <v>-5497492.0700000003</v>
      </c>
      <c r="S62" s="12">
        <v>-698316.82</v>
      </c>
      <c r="T62" s="12">
        <v>-698316.82000000018</v>
      </c>
      <c r="U62" s="12">
        <f t="shared" si="105"/>
        <v>-698316.82000000018</v>
      </c>
      <c r="V62" s="12">
        <v>-1097464.69</v>
      </c>
      <c r="W62" s="12"/>
      <c r="X62" s="12"/>
      <c r="Y62" s="12">
        <f t="shared" si="106"/>
        <v>-1097464.69</v>
      </c>
      <c r="Z62" s="12">
        <v>0</v>
      </c>
      <c r="AA62" s="12">
        <v>0</v>
      </c>
      <c r="AB62" s="12">
        <v>0</v>
      </c>
      <c r="AC62" s="12">
        <v>-1226769.04</v>
      </c>
      <c r="AD62" s="12">
        <v>-55800446.68</v>
      </c>
      <c r="AE62" s="12">
        <v>-1226769.04</v>
      </c>
      <c r="AF62" s="12">
        <f t="shared" si="24"/>
        <v>-57027215.719999999</v>
      </c>
      <c r="AG62" s="12">
        <f t="shared" si="10"/>
        <v>-54573677.640000001</v>
      </c>
      <c r="AH62" s="44">
        <f t="shared" si="4"/>
        <v>-57027215.719999999</v>
      </c>
      <c r="AI62" s="44">
        <v>0</v>
      </c>
      <c r="AJ62" s="12">
        <f t="shared" si="11"/>
        <v>-57027215.719999999</v>
      </c>
      <c r="AK62" s="44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12"/>
        <v>-57027215.719999999</v>
      </c>
      <c r="AO62" s="44">
        <v>0</v>
      </c>
      <c r="AP62" s="12">
        <f t="shared" si="14"/>
        <v>-55929751.030000001</v>
      </c>
      <c r="AQ62" s="44">
        <f t="shared" si="36"/>
        <v>5196.2688403214142</v>
      </c>
      <c r="AR62" s="12">
        <f>AF62-M62</f>
        <v>-53072473.259999998</v>
      </c>
      <c r="AS62" s="12">
        <f>IF(M62=0,0,AF62/M62*100)</f>
        <v>1441.995687375304</v>
      </c>
      <c r="AT62" s="34">
        <f>AF62</f>
        <v>-57027215.719999999</v>
      </c>
    </row>
    <row r="63" spans="1:47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107">J54+J7</f>
        <v>2092393430.8699999</v>
      </c>
      <c r="K63" s="13">
        <f t="shared" si="107"/>
        <v>2071137908.7351346</v>
      </c>
      <c r="L63" s="28">
        <f t="shared" si="107"/>
        <v>881017080.54999995</v>
      </c>
      <c r="M63" s="26">
        <f t="shared" si="107"/>
        <v>869807240.21554315</v>
      </c>
      <c r="N63" s="12">
        <f t="shared" si="107"/>
        <v>2309803775.2699995</v>
      </c>
      <c r="O63" s="12">
        <f t="shared" si="107"/>
        <v>2328450949.6999998</v>
      </c>
      <c r="P63" s="12">
        <f t="shared" si="107"/>
        <v>2327457942.815587</v>
      </c>
      <c r="Q63" s="12">
        <f t="shared" si="107"/>
        <v>2328450949.6999998</v>
      </c>
      <c r="R63" s="12">
        <f t="shared" si="107"/>
        <v>2324234116.085587</v>
      </c>
      <c r="S63" s="12">
        <f t="shared" si="107"/>
        <v>2468054121.4099998</v>
      </c>
      <c r="T63" s="12">
        <f t="shared" si="107"/>
        <v>2473502940.9500003</v>
      </c>
      <c r="U63" s="12">
        <f t="shared" si="107"/>
        <v>2610269494.995842</v>
      </c>
      <c r="V63" s="12">
        <f t="shared" si="107"/>
        <v>116940002.64</v>
      </c>
      <c r="W63" s="12"/>
      <c r="X63" s="12">
        <f t="shared" ref="X63:AF63" si="108">X54+X7</f>
        <v>0</v>
      </c>
      <c r="Y63" s="12">
        <f t="shared" si="108"/>
        <v>116810341.84590453</v>
      </c>
      <c r="Z63" s="12">
        <f t="shared" si="108"/>
        <v>2141993785.2600002</v>
      </c>
      <c r="AA63" s="12">
        <f t="shared" si="108"/>
        <v>2125335858.95</v>
      </c>
      <c r="AB63" s="12">
        <f t="shared" si="108"/>
        <v>145572695.07000002</v>
      </c>
      <c r="AC63" s="12">
        <f t="shared" si="108"/>
        <v>24820595.91</v>
      </c>
      <c r="AD63" s="12">
        <f t="shared" si="108"/>
        <v>-40624969.379999995</v>
      </c>
      <c r="AE63" s="12">
        <f t="shared" si="108"/>
        <v>67143385.070000008</v>
      </c>
      <c r="AF63" s="12">
        <f t="shared" si="108"/>
        <v>26518415.690000005</v>
      </c>
      <c r="AG63" s="12">
        <f t="shared" si="10"/>
        <v>-65445565.289999992</v>
      </c>
      <c r="AH63" s="12">
        <f t="shared" si="4"/>
        <v>-2115475369.5700002</v>
      </c>
      <c r="AI63" s="12">
        <f>AF63/Z63*100</f>
        <v>1.2380248660143118</v>
      </c>
      <c r="AJ63" s="12">
        <f>AF63-AA63</f>
        <v>-2098817443.26</v>
      </c>
      <c r="AK63" s="12">
        <f t="shared" si="19"/>
        <v>1.2477282392017397</v>
      </c>
      <c r="AL63" s="12" t="e">
        <f>AF63-#REF!</f>
        <v>#REF!</v>
      </c>
      <c r="AM63" s="12" t="e">
        <f>IF(#REF!=0,0,AF63/#REF!*100)</f>
        <v>#REF!</v>
      </c>
      <c r="AN63" s="12">
        <f t="shared" si="12"/>
        <v>-119054279.38000003</v>
      </c>
      <c r="AO63" s="12">
        <f t="shared" si="13"/>
        <v>18.216613821189732</v>
      </c>
      <c r="AP63" s="12">
        <f t="shared" si="14"/>
        <v>-90291926.155904531</v>
      </c>
      <c r="AQ63" s="12">
        <f t="shared" si="36"/>
        <v>22.702112904508862</v>
      </c>
      <c r="AR63" s="12">
        <f>AF63-M63</f>
        <v>-843288824.52554309</v>
      </c>
      <c r="AS63" s="12">
        <f>IF(M63=0,0,AF63/M63*100)</f>
        <v>3.0487692518434995</v>
      </c>
      <c r="AT63" s="31" t="e">
        <f>AT54+AT7</f>
        <v>#REF!</v>
      </c>
    </row>
    <row r="64" spans="1:47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6"/>
      <c r="J64" s="86"/>
      <c r="K64" s="86"/>
      <c r="L64" s="76"/>
      <c r="M64" s="7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92"/>
      <c r="Y64" s="92" t="s">
        <v>73</v>
      </c>
      <c r="Z64" s="92"/>
      <c r="AA64" s="92"/>
      <c r="AB64" s="93">
        <v>1276217451.79</v>
      </c>
      <c r="AC64" s="92"/>
      <c r="AD64" s="105"/>
      <c r="AE64" s="106">
        <v>1091597698.1400001</v>
      </c>
      <c r="AF64" s="107">
        <v>1169360721.9000001</v>
      </c>
      <c r="AG64" s="92"/>
      <c r="AH64" s="92"/>
      <c r="AI64" s="92"/>
      <c r="AJ64" s="92"/>
      <c r="AK64" s="92"/>
      <c r="AL64" s="96"/>
      <c r="AM64" s="97"/>
      <c r="AN64" s="98"/>
      <c r="AO64" s="98"/>
      <c r="AP64" s="86"/>
      <c r="AQ64" s="89"/>
      <c r="AR64" s="89"/>
      <c r="AS64" s="90"/>
    </row>
    <row r="65" spans="1:44" s="78" customFormat="1" ht="18" customHeight="1" x14ac:dyDescent="0.3">
      <c r="I65" s="78" t="s">
        <v>48</v>
      </c>
      <c r="J65" s="78" t="s">
        <v>40</v>
      </c>
      <c r="N65" s="78" t="s">
        <v>40</v>
      </c>
      <c r="Q65" s="87"/>
      <c r="R65" s="87"/>
      <c r="S65" s="87"/>
      <c r="T65" s="87"/>
      <c r="U65" s="93"/>
      <c r="V65" s="93">
        <f>V63-V10+Y10</f>
        <v>116810341.84590451</v>
      </c>
      <c r="W65" s="93"/>
      <c r="X65" s="100"/>
      <c r="Y65" s="93"/>
      <c r="Z65" s="93"/>
      <c r="AA65" s="93"/>
      <c r="AB65" s="93">
        <v>1581194711.4100001</v>
      </c>
      <c r="AC65" s="94"/>
      <c r="AD65" s="106"/>
      <c r="AE65" s="108">
        <v>67143385.070000008</v>
      </c>
      <c r="AF65" s="106">
        <v>1229277981.27</v>
      </c>
      <c r="AG65" s="94"/>
      <c r="AJ65" s="88"/>
      <c r="AK65" s="113"/>
      <c r="AL65" s="113"/>
      <c r="AM65" s="113"/>
      <c r="AN65" s="113"/>
      <c r="AO65" s="113"/>
      <c r="AP65" s="113"/>
    </row>
    <row r="66" spans="1:44" s="78" customFormat="1" ht="18" customHeight="1" x14ac:dyDescent="0.3">
      <c r="I66" s="78" t="s">
        <v>75</v>
      </c>
      <c r="O66" s="78" t="s">
        <v>40</v>
      </c>
      <c r="Q66" s="87"/>
      <c r="V66" s="87">
        <f>V63-V10+Y10</f>
        <v>116810341.84590451</v>
      </c>
      <c r="W66" s="87"/>
      <c r="X66" s="87"/>
      <c r="Y66" s="87"/>
      <c r="AA66" s="87" t="s">
        <v>40</v>
      </c>
      <c r="AB66" s="93">
        <f>AC66</f>
        <v>0</v>
      </c>
      <c r="AC66" s="87"/>
      <c r="AD66" s="87"/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1"/>
      <c r="AG67" s="76"/>
      <c r="AH67" s="76"/>
      <c r="AI67" s="76"/>
      <c r="AJ67" s="76"/>
      <c r="AK67" s="76"/>
      <c r="AL67" s="76"/>
      <c r="AM67" s="89"/>
      <c r="AN67" s="89"/>
      <c r="AO67" s="89"/>
      <c r="AP67" s="76"/>
      <c r="AQ67" s="76"/>
      <c r="AR67" s="76"/>
    </row>
    <row r="68" spans="1:44" s="5" customFormat="1" ht="18.75" hidden="1" x14ac:dyDescent="0.3">
      <c r="I68" s="5" t="s">
        <v>48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P6" xr:uid="{00000000-0001-0000-0000-000000000000}"/>
  <mergeCells count="59">
    <mergeCell ref="K4:K5"/>
    <mergeCell ref="L4:L5"/>
    <mergeCell ref="M4:M5"/>
    <mergeCell ref="I2:AN2"/>
    <mergeCell ref="B14:I14"/>
    <mergeCell ref="AG4:AG5"/>
    <mergeCell ref="AH4:AI4"/>
    <mergeCell ref="AJ4:AK4"/>
    <mergeCell ref="AL4:AM4"/>
    <mergeCell ref="Y4:Y5"/>
    <mergeCell ref="Z4:Z5"/>
    <mergeCell ref="AC4:AD4"/>
    <mergeCell ref="AE4:AE5"/>
    <mergeCell ref="AF4:AF5"/>
    <mergeCell ref="R4:R5"/>
    <mergeCell ref="S4:S5"/>
    <mergeCell ref="T4:T5"/>
    <mergeCell ref="U4:U5"/>
    <mergeCell ref="N4:N5"/>
    <mergeCell ref="AR4:AS4"/>
    <mergeCell ref="B7:I7"/>
    <mergeCell ref="B10:I10"/>
    <mergeCell ref="B11:I11"/>
    <mergeCell ref="B13:I13"/>
    <mergeCell ref="AN4:AO4"/>
    <mergeCell ref="AP4:AQ4"/>
    <mergeCell ref="X4:X5"/>
    <mergeCell ref="AA4:AB5"/>
    <mergeCell ref="O4:O5"/>
    <mergeCell ref="P4:P5"/>
    <mergeCell ref="Q4:Q5"/>
    <mergeCell ref="W4:W5"/>
    <mergeCell ref="V4:V5"/>
    <mergeCell ref="I4:I5"/>
    <mergeCell ref="J4:J5"/>
    <mergeCell ref="B45:I45"/>
    <mergeCell ref="B15:I15"/>
    <mergeCell ref="B16:I16"/>
    <mergeCell ref="B17:I17"/>
    <mergeCell ref="B20:I20"/>
    <mergeCell ref="B21:M21"/>
    <mergeCell ref="B23:I23"/>
    <mergeCell ref="B29:I29"/>
    <mergeCell ref="B36:I36"/>
    <mergeCell ref="B37:I37"/>
    <mergeCell ref="B38:I38"/>
    <mergeCell ref="B44:I44"/>
    <mergeCell ref="AK65:AP65"/>
    <mergeCell ref="B46:I46"/>
    <mergeCell ref="B47:I47"/>
    <mergeCell ref="B48:I48"/>
    <mergeCell ref="B50:I50"/>
    <mergeCell ref="B54:I54"/>
    <mergeCell ref="B55:I55"/>
    <mergeCell ref="B56:I56"/>
    <mergeCell ref="B57:I57"/>
    <mergeCell ref="B58:I58"/>
    <mergeCell ref="B59:I59"/>
    <mergeCell ref="B62:I62"/>
  </mergeCells>
  <pageMargins left="0.39370078740157483" right="0.39370078740157483" top="0.78740157480314965" bottom="0.39370078740157483" header="0.39370078740157483" footer="0.39370078740157483"/>
  <pageSetup paperSize="9" scale="49" fitToWidth="2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Оксана Попова</cp:lastModifiedBy>
  <cp:lastPrinted>2024-01-26T13:22:59Z</cp:lastPrinted>
  <dcterms:created xsi:type="dcterms:W3CDTF">2018-12-30T09:36:16Z</dcterms:created>
  <dcterms:modified xsi:type="dcterms:W3CDTF">2024-01-29T14:11:48Z</dcterms:modified>
</cp:coreProperties>
</file>